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3" sheetId="1" r:id="rId1"/>
  </sheets>
  <externalReferences>
    <externalReference r:id="rId4"/>
  </externalReferences>
  <definedNames>
    <definedName name="_xlnm.Print_Area" localSheetId="0">'St.3'!$A$1:$BO$201</definedName>
    <definedName name="_xlnm.Print_Titles" localSheetId="0">'St.3'!$A:$B,'St.3'!$1:$4</definedName>
  </definedNames>
  <calcPr fullCalcOnLoad="1"/>
</workbook>
</file>

<file path=xl/sharedStrings.xml><?xml version="1.0" encoding="utf-8"?>
<sst xmlns="http://schemas.openxmlformats.org/spreadsheetml/2006/main" count="346" uniqueCount="248">
  <si>
    <t>ACTUALS</t>
  </si>
  <si>
    <t>R.E.</t>
  </si>
  <si>
    <t>B.E.</t>
  </si>
  <si>
    <t>ESTIMATES</t>
  </si>
  <si>
    <t>FORECAST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</si>
  <si>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</si>
  <si>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</si>
  <si>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</si>
  <si>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</si>
  <si>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</si>
  <si>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</si>
  <si>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</si>
  <si>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</si>
  <si>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HEADS</t>
  </si>
  <si>
    <t>Non-Plan</t>
  </si>
  <si>
    <t>Plan</t>
  </si>
  <si>
    <t xml:space="preserve"> of which CSS + CPS*</t>
  </si>
  <si>
    <t>Total</t>
  </si>
  <si>
    <t xml:space="preserve"> of which CSS + CPS</t>
  </si>
  <si>
    <t>A</t>
  </si>
  <si>
    <t>General Services</t>
  </si>
  <si>
    <t>(a)</t>
  </si>
  <si>
    <t>Organs of State</t>
  </si>
  <si>
    <t>(b)</t>
  </si>
  <si>
    <t xml:space="preserve">Fiscal Services </t>
  </si>
  <si>
    <t xml:space="preserve"> Other Fiscal Services </t>
  </si>
  <si>
    <t>(c)</t>
  </si>
  <si>
    <t>Interest Payment and Servicing of Debt</t>
  </si>
  <si>
    <t>Appropriation for Reduction or Avoidance of Debt</t>
  </si>
  <si>
    <t>0I</t>
  </si>
  <si>
    <t>03</t>
  </si>
  <si>
    <t>04</t>
  </si>
  <si>
    <t>(d)</t>
  </si>
  <si>
    <t>Administrative Services</t>
  </si>
  <si>
    <t xml:space="preserve">Modernisation of Police Force </t>
  </si>
  <si>
    <t>Other Expenditure</t>
  </si>
  <si>
    <t xml:space="preserve">Jails Manufactures </t>
  </si>
  <si>
    <t xml:space="preserve"> Other Expenditure</t>
  </si>
  <si>
    <t>(e)</t>
  </si>
  <si>
    <t>Pensions &amp; Misc. General Services</t>
  </si>
  <si>
    <t>Superannuation and Retirement Benefits</t>
  </si>
  <si>
    <t>Commuted Value of Pension</t>
  </si>
  <si>
    <t xml:space="preserve">Gratuities </t>
  </si>
  <si>
    <t>Family Pension</t>
  </si>
  <si>
    <t>Govt. Contribution for Defined Contributory Pension Scheme</t>
  </si>
  <si>
    <t>State Lotteries (Gross)</t>
  </si>
  <si>
    <t>Pension and Awards in consideration of distinguished services</t>
  </si>
  <si>
    <t>B</t>
  </si>
  <si>
    <t>Social Services</t>
  </si>
  <si>
    <t>01</t>
  </si>
  <si>
    <t>Elementary Education</t>
  </si>
  <si>
    <t>02</t>
  </si>
  <si>
    <t>Secondary Education</t>
  </si>
  <si>
    <t>University and Higher Education</t>
  </si>
  <si>
    <t>Adult Education</t>
  </si>
  <si>
    <t>05</t>
  </si>
  <si>
    <t>Language Development</t>
  </si>
  <si>
    <t>General</t>
  </si>
  <si>
    <t>01+02</t>
  </si>
  <si>
    <t>Urban Health Services</t>
  </si>
  <si>
    <t>03+04</t>
  </si>
  <si>
    <t>Rural Health Services</t>
  </si>
  <si>
    <t>Water Supply</t>
  </si>
  <si>
    <t>Urban Water Supply Programmes</t>
  </si>
  <si>
    <t>Rural Water Supply Programmes</t>
  </si>
  <si>
    <t>Assistance to Local Bodies, Municipalities etc.</t>
  </si>
  <si>
    <t>Sewerage &amp; Sanitation</t>
  </si>
  <si>
    <t>051</t>
  </si>
  <si>
    <t xml:space="preserve">Construction </t>
  </si>
  <si>
    <t>053</t>
  </si>
  <si>
    <t xml:space="preserve"> Labour &amp; Employment </t>
  </si>
  <si>
    <t>Rehabililiation</t>
  </si>
  <si>
    <t>Social Welfare of Which</t>
  </si>
  <si>
    <t>Correctional Homes/Services</t>
  </si>
  <si>
    <t>Other Insurance Schemes</t>
  </si>
  <si>
    <t xml:space="preserve"> Midday Meals</t>
  </si>
  <si>
    <t>Drought</t>
  </si>
  <si>
    <t>Floods, Cyclones etc.</t>
  </si>
  <si>
    <t>C</t>
  </si>
  <si>
    <t>Economic Services</t>
  </si>
  <si>
    <t>Government Milk Supply Schemes</t>
  </si>
  <si>
    <t>Other Exp.</t>
  </si>
  <si>
    <t>Plantations</t>
  </si>
  <si>
    <t>Sampoorna Gram Samridhi  Yojana (SGSY)</t>
  </si>
  <si>
    <t>Sampoorna Gramin Rozgar Yojana(SGRY)</t>
  </si>
  <si>
    <t>Employment Assurance Scheme(EAS)</t>
  </si>
  <si>
    <t>Pradhan Mantri Gram Sadak Yojana(PMGSY)</t>
  </si>
  <si>
    <t>Tribal Areas Sub-Plan</t>
  </si>
  <si>
    <t>Special Areas Programme Hill Areas</t>
  </si>
  <si>
    <t>North Eastern Areas</t>
  </si>
  <si>
    <t>Other Special Area Programmes</t>
  </si>
  <si>
    <t>Major Irrigation</t>
  </si>
  <si>
    <t>Commercial</t>
  </si>
  <si>
    <t>Non-Commercial</t>
  </si>
  <si>
    <t>Medium Irrigation</t>
  </si>
  <si>
    <t>Surface Water</t>
  </si>
  <si>
    <t>Ground Water</t>
  </si>
  <si>
    <t>Flood Control and Drainage</t>
  </si>
  <si>
    <t>Petroleums</t>
  </si>
  <si>
    <t>Coals &amp; Lignite</t>
  </si>
  <si>
    <t>Other Industries</t>
  </si>
  <si>
    <t>Other Outlays on  Ind. and Minerals</t>
  </si>
  <si>
    <t>Indian Railways Policy, Formulation, Direction Reseach and Other Misc. Organisation</t>
  </si>
  <si>
    <t>Ports &amp; Light Houses</t>
  </si>
  <si>
    <t>Shipping</t>
  </si>
  <si>
    <t>Civil Aviation</t>
  </si>
  <si>
    <t>Inland Water Transport</t>
  </si>
  <si>
    <t>Other Transport Services</t>
  </si>
  <si>
    <t>Other Communication Services</t>
  </si>
  <si>
    <t>Space Research</t>
  </si>
  <si>
    <t>Foreign Trade/Export Promotion</t>
  </si>
  <si>
    <t>General Financial and Trading Institutions</t>
  </si>
  <si>
    <t xml:space="preserve">(a) </t>
  </si>
  <si>
    <t>General Financial Institutions</t>
  </si>
  <si>
    <t xml:space="preserve">       (i) </t>
  </si>
  <si>
    <t>Assistance</t>
  </si>
  <si>
    <t xml:space="preserve">       (ii) </t>
  </si>
  <si>
    <t xml:space="preserve">(b) </t>
  </si>
  <si>
    <t>Trading Institution</t>
  </si>
  <si>
    <t xml:space="preserve">        (i)    </t>
  </si>
  <si>
    <t>Trading Operation in liquor</t>
  </si>
  <si>
    <t xml:space="preserve">       (ii)  </t>
  </si>
  <si>
    <t xml:space="preserve">       (iii)  </t>
  </si>
  <si>
    <t>D</t>
  </si>
  <si>
    <t>Grants-in-aid and Contributions</t>
  </si>
  <si>
    <t>Land Revenue</t>
  </si>
  <si>
    <t>Stamp duties</t>
  </si>
  <si>
    <t>Entertainment Tax</t>
  </si>
  <si>
    <t>Betting Tax</t>
  </si>
  <si>
    <t>Terminal Tax</t>
  </si>
  <si>
    <t xml:space="preserve">Taxes on Vehicles </t>
  </si>
  <si>
    <t xml:space="preserve">Tax on entry of Goods to Local Bodies </t>
  </si>
  <si>
    <t>Taxes on Profession,  Trade, Employment etc.</t>
  </si>
  <si>
    <t>Other Misc. Compensation and Assignments</t>
  </si>
  <si>
    <t>Total Revenue Expenditure (A+B+C+D)</t>
  </si>
  <si>
    <t>Note : * The states which receives funds under the NEC &amp; NLPR (Non lapsable pool of resources of NE States) schemes may show them separately under plan expenditure</t>
  </si>
  <si>
    <t>2015-16</t>
  </si>
  <si>
    <t>2016-17</t>
  </si>
  <si>
    <t>2017-18</t>
  </si>
  <si>
    <t>2018-19</t>
  </si>
  <si>
    <t>2019-20</t>
  </si>
  <si>
    <t>3606</t>
  </si>
  <si>
    <t>Expenditure Awaiting Transfers to Other Heads/Departments</t>
  </si>
  <si>
    <t>Non-Conventional Sources of Energy/ New and Renewable Energy</t>
  </si>
  <si>
    <t>of which Grants for creation of Capital Assets</t>
  </si>
  <si>
    <t>MNREGA</t>
  </si>
  <si>
    <t>plus 2059</t>
  </si>
  <si>
    <t>Check</t>
  </si>
  <si>
    <t>State Legislature *</t>
  </si>
  <si>
    <t>Governor  *</t>
  </si>
  <si>
    <t>Council of Ministers *</t>
  </si>
  <si>
    <t>Admn. of Justice *</t>
  </si>
  <si>
    <t>Stamps and Registration #</t>
  </si>
  <si>
    <t>Collection of Taxes on Income and Expenditure *</t>
  </si>
  <si>
    <t xml:space="preserve"> Land Revenue *</t>
  </si>
  <si>
    <t>Collection of other Taxes on Property and Capital Transactions *</t>
  </si>
  <si>
    <t>State  Excise *</t>
  </si>
  <si>
    <t xml:space="preserve"> Tax on Sales, Trade etc. *</t>
  </si>
  <si>
    <t>Taxes on Vehicles *</t>
  </si>
  <si>
    <t>Other Taxes and Duties on Commodities and Services #</t>
  </si>
  <si>
    <t>Public Service Commission *</t>
  </si>
  <si>
    <t>Sectt. Gen. Services *</t>
  </si>
  <si>
    <t xml:space="preserve"> Distt. Administration *</t>
  </si>
  <si>
    <t xml:space="preserve">  Treasury &amp; Accounts Administration *</t>
  </si>
  <si>
    <t>Interest on Internal Debt *</t>
  </si>
  <si>
    <t>Interest on Market Loans *</t>
  </si>
  <si>
    <t xml:space="preserve">Interest on Small Savings, Provident Funds *, etc. </t>
  </si>
  <si>
    <t>Interest on Other Obligations *</t>
  </si>
  <si>
    <t>Supplies and Disposal *</t>
  </si>
  <si>
    <t>Stationery and Printing *</t>
  </si>
  <si>
    <t>Other Administrative Services *</t>
  </si>
  <si>
    <t>General Education *</t>
  </si>
  <si>
    <t>Technical Education *</t>
  </si>
  <si>
    <t>Sports &amp; Youth Services *</t>
  </si>
  <si>
    <t>Art &amp; Culture *</t>
  </si>
  <si>
    <t xml:space="preserve"> Family Welfare *</t>
  </si>
  <si>
    <t>Housing *</t>
  </si>
  <si>
    <t>Urban Development *</t>
  </si>
  <si>
    <t>Maintenance and Repairs #</t>
  </si>
  <si>
    <t>Information &amp; Publicity *</t>
  </si>
  <si>
    <t>Welfare of SCs/STs/OBCs *</t>
  </si>
  <si>
    <t>Plans under Social Security Schemes *</t>
  </si>
  <si>
    <t>Relief on account of Natural Calamities *</t>
  </si>
  <si>
    <t>Other Social Services *</t>
  </si>
  <si>
    <t>Sectt. Social Services *</t>
  </si>
  <si>
    <t>Crop Husbandry *</t>
  </si>
  <si>
    <t>Soil &amp; Water Conservation *</t>
  </si>
  <si>
    <t>Animal Husbandry *</t>
  </si>
  <si>
    <t>Dairy Development *</t>
  </si>
  <si>
    <t>Fisheries *</t>
  </si>
  <si>
    <t>Forestry and Wild life *</t>
  </si>
  <si>
    <t>Food-Storage and Warehousing *</t>
  </si>
  <si>
    <t>Agricultural Research and Education *</t>
  </si>
  <si>
    <t>Agri. Financial Institutions *</t>
  </si>
  <si>
    <t>Co-operation *</t>
  </si>
  <si>
    <t>Other Agri. Programme *</t>
  </si>
  <si>
    <t>Special Programmes for Rural Development #</t>
  </si>
  <si>
    <t>Rural Employment *</t>
  </si>
  <si>
    <t>Land Reforms *</t>
  </si>
  <si>
    <t>Command Area Development *</t>
  </si>
  <si>
    <t>Village &amp; Small Industries *</t>
  </si>
  <si>
    <t>Industries *</t>
  </si>
  <si>
    <t>Non- Ferrous Mining and Metallurgical Industries *</t>
  </si>
  <si>
    <t>Roads &amp; Bridges *</t>
  </si>
  <si>
    <t>Road Transport Services #</t>
  </si>
  <si>
    <t>Other Scientific Research *</t>
  </si>
  <si>
    <t>Sectt. Economic Services *</t>
  </si>
  <si>
    <t>Tourism *</t>
  </si>
  <si>
    <t>Census, Surveys &amp; Statistics *</t>
  </si>
  <si>
    <t>Civil Supplies *</t>
  </si>
  <si>
    <t>Other Gen. Eco. Services *</t>
  </si>
  <si>
    <t>Compensation and Assignments to Local Bodies and Panchayati Raj Institutions *</t>
  </si>
  <si>
    <t>Aid, Materials &amp; Equipments *</t>
  </si>
  <si>
    <t>Interest on Loans and Advances from Central Govt.  $</t>
  </si>
  <si>
    <t>E</t>
  </si>
  <si>
    <t>F</t>
  </si>
  <si>
    <t>Imact of Pay Revision due to Vth State Pay Revision</t>
  </si>
  <si>
    <t>Pay Revision</t>
  </si>
  <si>
    <t>Arrears due to Pay and Pension Revision</t>
  </si>
  <si>
    <t>Committed liabilities of Eleventh &amp; twelveth Five Year Plan</t>
  </si>
  <si>
    <t>G</t>
  </si>
  <si>
    <t xml:space="preserve"> of which NLCPR, NEC</t>
  </si>
  <si>
    <t>of which NLCPR, NEC</t>
  </si>
  <si>
    <t>Ecology &amp; Environment $</t>
  </si>
  <si>
    <t>$ Frozen at 2013-14 level</t>
  </si>
  <si>
    <t># Growth rate for the period 2010-12 to  2013-14 has be applied as the expenditure from 2007-08 to 2009-10 consisted of abnormal growth due to payment of arrears on pay revision</t>
  </si>
  <si>
    <t>Elections *#</t>
  </si>
  <si>
    <t>Normal growthe rate excluding election costs</t>
  </si>
  <si>
    <t># Election  expenditurefor general election,parliamentry election,panchayat and Municipal election has been incorporated under particular year.</t>
  </si>
  <si>
    <t>Reguerization  of W/C&amp;M/R</t>
  </si>
  <si>
    <t>New appointment</t>
  </si>
  <si>
    <t>Pension (annual addition)</t>
  </si>
  <si>
    <t>H</t>
  </si>
  <si>
    <t>Total Revenue Expenditure ( A to H )</t>
  </si>
  <si>
    <t>* CGR of estimates submitted to Planning Commission has been applied which  is  11.25%</t>
  </si>
  <si>
    <t>Other Rural Development Programmes *</t>
  </si>
  <si>
    <t xml:space="preserve">Power </t>
  </si>
  <si>
    <r>
      <t xml:space="preserve">Interest Payments </t>
    </r>
    <r>
      <rPr>
        <i/>
        <sz val="11.5"/>
        <rFont val="Calibri"/>
        <family val="2"/>
      </rPr>
      <t>of which :-</t>
    </r>
  </si>
  <si>
    <r>
      <t xml:space="preserve"> Police  * </t>
    </r>
    <r>
      <rPr>
        <i/>
        <sz val="11.5"/>
        <rFont val="Calibri"/>
        <family val="2"/>
      </rPr>
      <t>of which :-</t>
    </r>
  </si>
  <si>
    <r>
      <t xml:space="preserve"> Jails  * </t>
    </r>
    <r>
      <rPr>
        <i/>
        <sz val="11.5"/>
        <rFont val="Calibri"/>
        <family val="2"/>
      </rPr>
      <t xml:space="preserve">of which :- </t>
    </r>
  </si>
  <si>
    <r>
      <t xml:space="preserve">Pensions and Other Retirement Benefits </t>
    </r>
    <r>
      <rPr>
        <i/>
        <sz val="11.5"/>
        <rFont val="Calibri"/>
        <family val="2"/>
      </rPr>
      <t>of which :-</t>
    </r>
  </si>
  <si>
    <r>
      <t xml:space="preserve">Misc. General Services  * </t>
    </r>
    <r>
      <rPr>
        <i/>
        <sz val="11.5"/>
        <rFont val="Calibri"/>
        <family val="2"/>
      </rPr>
      <t xml:space="preserve">of which :- </t>
    </r>
  </si>
  <si>
    <r>
      <t xml:space="preserve"> Medical &amp; Public Health  * </t>
    </r>
    <r>
      <rPr>
        <i/>
        <sz val="11.5"/>
        <rFont val="Calibri"/>
        <family val="2"/>
      </rPr>
      <t>of which :-</t>
    </r>
  </si>
  <si>
    <r>
      <t xml:space="preserve"> Water Supply &amp; Sanitation  * </t>
    </r>
    <r>
      <rPr>
        <i/>
        <sz val="11.5"/>
        <rFont val="Calibri"/>
        <family val="2"/>
      </rPr>
      <t>of which :-</t>
    </r>
  </si>
  <si>
    <r>
      <t xml:space="preserve"> Public Works  * </t>
    </r>
    <r>
      <rPr>
        <i/>
        <sz val="11.5"/>
        <rFont val="Calibri"/>
        <family val="2"/>
      </rPr>
      <t>of which :-</t>
    </r>
  </si>
  <si>
    <r>
      <t xml:space="preserve"> Social Security &amp; Welfare *  </t>
    </r>
    <r>
      <rPr>
        <i/>
        <sz val="11.5"/>
        <rFont val="Calibri"/>
        <family val="2"/>
      </rPr>
      <t>of which</t>
    </r>
  </si>
  <si>
    <r>
      <t xml:space="preserve">Nutrition  * </t>
    </r>
    <r>
      <rPr>
        <i/>
        <sz val="11.5"/>
        <rFont val="Calibri"/>
        <family val="2"/>
      </rPr>
      <t>of which</t>
    </r>
  </si>
  <si>
    <r>
      <t xml:space="preserve">Minor Irrigation * </t>
    </r>
    <r>
      <rPr>
        <i/>
        <sz val="11.5"/>
        <rFont val="Calibri"/>
        <family val="2"/>
      </rPr>
      <t>of which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</si>
</sst>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0000"/>
    <numFmt numFmtId="193" formatCode="0.0"/>
    <numFmt numFmtId="194" formatCode="0.000"/>
    <numFmt numFmtId="195" formatCode="0.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"/>
    <numFmt numFmtId="201" formatCode="[$-409]dddd\,\ mmmm\ dd\,\ yyyy"/>
    <numFmt numFmtId="202" formatCode="[$-409]h:mm:ss\ AM/PM"/>
    <numFmt numFmtId="203" formatCode="0.00_);\(0.00\)"/>
    <numFmt numFmtId="204" formatCode="0.00000"/>
    <numFmt numFmtId="205" formatCode="_(* #,##0.0000_);_(* \(#,##0.0000\);_(* &quot;-&quot;????_);_(@_)"/>
    <numFmt numFmtId="206" formatCode="_ * #,##0.0000_ ;_ * \-#,##0.0000_ ;_ * &quot;-&quot;????_ ;_ @_ "/>
    <numFmt numFmtId="207" formatCode="0.00;[Red]0.00"/>
    <numFmt numFmtId="208" formatCode="_(* #,##0.000_);_(* \(#,##0.000\);_(* &quot;-&quot;???_);_(@_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.5"/>
      <name val="Calibri"/>
      <family val="2"/>
    </font>
    <font>
      <sz val="11.5"/>
      <name val="Calibri"/>
      <family val="2"/>
    </font>
    <font>
      <b/>
      <sz val="11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25" fillId="24" borderId="10" xfId="57" applyNumberFormat="1" applyFont="1" applyFill="1" applyBorder="1" applyAlignment="1">
      <alignment vertical="center"/>
      <protection/>
    </xf>
    <xf numFmtId="0" fontId="25" fillId="24" borderId="10" xfId="57" applyFont="1" applyFill="1" applyBorder="1" applyAlignment="1">
      <alignment vertical="center" wrapText="1"/>
      <protection/>
    </xf>
    <xf numFmtId="195" fontId="22" fillId="24" borderId="8" xfId="0" applyNumberFormat="1" applyFont="1" applyFill="1" applyBorder="1" applyAlignment="1" applyProtection="1">
      <alignment/>
      <protection/>
    </xf>
    <xf numFmtId="195" fontId="26" fillId="24" borderId="10" xfId="57" applyNumberFormat="1" applyFont="1" applyFill="1" applyBorder="1">
      <alignment/>
      <protection/>
    </xf>
    <xf numFmtId="0" fontId="26" fillId="24" borderId="10" xfId="57" applyFont="1" applyFill="1" applyBorder="1">
      <alignment/>
      <protection/>
    </xf>
    <xf numFmtId="0" fontId="26" fillId="24" borderId="10" xfId="57" applyFont="1" applyFill="1" applyBorder="1" applyAlignment="1">
      <alignment horizontal="center" vertical="top" wrapText="1"/>
      <protection/>
    </xf>
    <xf numFmtId="0" fontId="26" fillId="24" borderId="10" xfId="57" applyNumberFormat="1" applyFont="1" applyFill="1" applyBorder="1" applyAlignment="1">
      <alignment horizontal="center" vertical="center" wrapText="1"/>
      <protection/>
    </xf>
    <xf numFmtId="0" fontId="26" fillId="24" borderId="10" xfId="57" applyFont="1" applyFill="1" applyBorder="1" applyAlignment="1">
      <alignment horizontal="center" vertical="center" wrapText="1"/>
      <protection/>
    </xf>
    <xf numFmtId="0" fontId="26" fillId="24" borderId="10" xfId="57" applyFont="1" applyFill="1" applyBorder="1" applyAlignment="1">
      <alignment horizontal="center"/>
      <protection/>
    </xf>
    <xf numFmtId="195" fontId="23" fillId="24" borderId="8" xfId="0" applyNumberFormat="1" applyFont="1" applyFill="1" applyBorder="1" applyAlignment="1" applyProtection="1">
      <alignment/>
      <protection/>
    </xf>
    <xf numFmtId="195" fontId="25" fillId="24" borderId="10" xfId="57" applyNumberFormat="1" applyFont="1" applyFill="1" applyBorder="1">
      <alignment/>
      <protection/>
    </xf>
    <xf numFmtId="0" fontId="25" fillId="24" borderId="10" xfId="57" applyFont="1" applyFill="1" applyBorder="1">
      <alignment/>
      <protection/>
    </xf>
    <xf numFmtId="0" fontId="26" fillId="24" borderId="10" xfId="57" applyNumberFormat="1" applyFont="1" applyFill="1" applyBorder="1" applyAlignment="1">
      <alignment horizontal="right" vertical="center" wrapText="1"/>
      <protection/>
    </xf>
    <xf numFmtId="0" fontId="26" fillId="24" borderId="10" xfId="57" applyFont="1" applyFill="1" applyBorder="1" applyAlignment="1">
      <alignment vertical="center" wrapText="1"/>
      <protection/>
    </xf>
    <xf numFmtId="2" fontId="26" fillId="24" borderId="10" xfId="57" applyNumberFormat="1" applyFont="1" applyFill="1" applyBorder="1" applyAlignment="1">
      <alignment vertical="center"/>
      <protection/>
    </xf>
    <xf numFmtId="0" fontId="26" fillId="24" borderId="10" xfId="57" applyFont="1" applyFill="1" applyBorder="1" applyAlignment="1">
      <alignment vertical="center"/>
      <protection/>
    </xf>
    <xf numFmtId="195" fontId="22" fillId="24" borderId="8" xfId="0" applyNumberFormat="1" applyFont="1" applyFill="1" applyBorder="1" applyAlignment="1" applyProtection="1">
      <alignment vertical="center"/>
      <protection/>
    </xf>
    <xf numFmtId="195" fontId="25" fillId="24" borderId="10" xfId="57" applyNumberFormat="1" applyFont="1" applyFill="1" applyBorder="1" applyAlignment="1">
      <alignment vertical="center"/>
      <protection/>
    </xf>
    <xf numFmtId="0" fontId="25" fillId="24" borderId="10" xfId="57" applyFont="1" applyFill="1" applyBorder="1" applyAlignment="1">
      <alignment vertical="center"/>
      <protection/>
    </xf>
    <xf numFmtId="195" fontId="23" fillId="24" borderId="8" xfId="0" applyNumberFormat="1" applyFont="1" applyFill="1" applyBorder="1" applyAlignment="1" applyProtection="1">
      <alignment vertical="center"/>
      <protection/>
    </xf>
    <xf numFmtId="0" fontId="25" fillId="24" borderId="10" xfId="57" applyNumberFormat="1" applyFont="1" applyFill="1" applyBorder="1" applyAlignment="1">
      <alignment horizontal="right" vertical="center" wrapText="1"/>
      <protection/>
    </xf>
    <xf numFmtId="2" fontId="25" fillId="24" borderId="10" xfId="57" applyNumberFormat="1" applyFont="1" applyFill="1" applyBorder="1" applyAlignment="1">
      <alignment vertical="center" wrapText="1"/>
      <protection/>
    </xf>
    <xf numFmtId="171" fontId="25" fillId="24" borderId="10" xfId="42" applyNumberFormat="1" applyFont="1" applyFill="1" applyBorder="1" applyAlignment="1">
      <alignment vertical="center"/>
    </xf>
    <xf numFmtId="2" fontId="25" fillId="24" borderId="10" xfId="42" applyNumberFormat="1" applyFont="1" applyFill="1" applyBorder="1" applyAlignment="1">
      <alignment vertical="center"/>
    </xf>
    <xf numFmtId="171" fontId="26" fillId="24" borderId="10" xfId="42" applyNumberFormat="1" applyFont="1" applyFill="1" applyBorder="1" applyAlignment="1">
      <alignment vertical="center"/>
    </xf>
    <xf numFmtId="43" fontId="25" fillId="24" borderId="10" xfId="42" applyNumberFormat="1" applyFont="1" applyFill="1" applyBorder="1" applyAlignment="1">
      <alignment vertical="center"/>
    </xf>
    <xf numFmtId="2" fontId="25" fillId="24" borderId="10" xfId="57" applyNumberFormat="1" applyFont="1" applyFill="1" applyBorder="1" applyAlignment="1">
      <alignment horizontal="right" vertical="center" wrapText="1"/>
      <protection/>
    </xf>
    <xf numFmtId="43" fontId="25" fillId="24" borderId="10" xfId="42" applyNumberFormat="1" applyFont="1" applyFill="1" applyBorder="1" applyAlignment="1">
      <alignment horizontal="right" vertical="center" wrapText="1"/>
    </xf>
    <xf numFmtId="2" fontId="26" fillId="24" borderId="10" xfId="57" applyNumberFormat="1" applyFont="1" applyFill="1" applyBorder="1" applyAlignment="1">
      <alignment horizontal="right" vertical="center"/>
      <protection/>
    </xf>
    <xf numFmtId="43" fontId="25" fillId="24" borderId="10" xfId="42" applyNumberFormat="1" applyFont="1" applyFill="1" applyBorder="1" applyAlignment="1">
      <alignment horizontal="center" vertical="center"/>
    </xf>
    <xf numFmtId="2" fontId="25" fillId="24" borderId="10" xfId="57" applyNumberFormat="1" applyFont="1" applyFill="1" applyBorder="1" applyAlignment="1">
      <alignment horizontal="right" vertical="center"/>
      <protection/>
    </xf>
    <xf numFmtId="43" fontId="25" fillId="24" borderId="10" xfId="42" applyNumberFormat="1" applyFont="1" applyFill="1" applyBorder="1" applyAlignment="1">
      <alignment horizontal="right" vertical="center"/>
    </xf>
    <xf numFmtId="0" fontId="25" fillId="24" borderId="10" xfId="57" applyNumberFormat="1" applyFont="1" applyFill="1" applyBorder="1" applyAlignment="1" quotePrefix="1">
      <alignment horizontal="right" vertical="center" wrapText="1"/>
      <protection/>
    </xf>
    <xf numFmtId="2" fontId="26" fillId="24" borderId="10" xfId="57" applyNumberFormat="1" applyFont="1" applyFill="1" applyBorder="1" applyAlignment="1">
      <alignment vertical="center" wrapText="1"/>
      <protection/>
    </xf>
    <xf numFmtId="0" fontId="24" fillId="24" borderId="10" xfId="57" applyNumberFormat="1" applyFont="1" applyFill="1" applyBorder="1" applyAlignment="1">
      <alignment horizontal="right" vertical="center" wrapText="1"/>
      <protection/>
    </xf>
    <xf numFmtId="0" fontId="24" fillId="24" borderId="10" xfId="57" applyFont="1" applyFill="1" applyBorder="1" applyAlignment="1">
      <alignment vertical="center" wrapText="1"/>
      <protection/>
    </xf>
    <xf numFmtId="2" fontId="24" fillId="24" borderId="10" xfId="57" applyNumberFormat="1" applyFont="1" applyFill="1" applyBorder="1" applyAlignment="1">
      <alignment vertical="center" wrapText="1"/>
      <protection/>
    </xf>
    <xf numFmtId="0" fontId="24" fillId="24" borderId="10" xfId="57" applyFont="1" applyFill="1" applyBorder="1" applyAlignment="1">
      <alignment vertical="center"/>
      <protection/>
    </xf>
    <xf numFmtId="43" fontId="25" fillId="24" borderId="10" xfId="42" applyNumberFormat="1" applyFont="1" applyFill="1" applyBorder="1" applyAlignment="1">
      <alignment vertical="center" wrapText="1"/>
    </xf>
    <xf numFmtId="171" fontId="25" fillId="24" borderId="10" xfId="42" applyNumberFormat="1" applyFont="1" applyFill="1" applyBorder="1" applyAlignment="1">
      <alignment horizontal="right" vertical="center"/>
    </xf>
    <xf numFmtId="203" fontId="25" fillId="24" borderId="10" xfId="42" applyNumberFormat="1" applyFont="1" applyFill="1" applyBorder="1" applyAlignment="1">
      <alignment vertical="center"/>
    </xf>
    <xf numFmtId="39" fontId="25" fillId="24" borderId="10" xfId="42" applyNumberFormat="1" applyFont="1" applyFill="1" applyBorder="1" applyAlignment="1">
      <alignment vertical="center"/>
    </xf>
    <xf numFmtId="171" fontId="25" fillId="24" borderId="10" xfId="42" applyNumberFormat="1" applyFont="1" applyFill="1" applyBorder="1" applyAlignment="1">
      <alignment vertical="center" wrapText="1"/>
    </xf>
    <xf numFmtId="171" fontId="25" fillId="24" borderId="10" xfId="42" applyNumberFormat="1" applyFont="1" applyFill="1" applyBorder="1" applyAlignment="1">
      <alignment horizontal="right" vertical="center" wrapText="1"/>
    </xf>
    <xf numFmtId="207" fontId="25" fillId="24" borderId="10" xfId="42" applyNumberFormat="1" applyFont="1" applyFill="1" applyBorder="1" applyAlignment="1">
      <alignment vertical="center"/>
    </xf>
    <xf numFmtId="43" fontId="25" fillId="24" borderId="10" xfId="42" applyNumberFormat="1" applyFont="1" applyFill="1" applyBorder="1" applyAlignment="1">
      <alignment horizontal="left" vertical="center"/>
    </xf>
    <xf numFmtId="203" fontId="26" fillId="24" borderId="10" xfId="42" applyNumberFormat="1" applyFont="1" applyFill="1" applyBorder="1" applyAlignment="1">
      <alignment vertical="center"/>
    </xf>
    <xf numFmtId="43" fontId="26" fillId="24" borderId="10" xfId="42" applyNumberFormat="1" applyFont="1" applyFill="1" applyBorder="1" applyAlignment="1">
      <alignment vertical="center"/>
    </xf>
    <xf numFmtId="2" fontId="26" fillId="24" borderId="10" xfId="42" applyNumberFormat="1" applyFont="1" applyFill="1" applyBorder="1" applyAlignment="1">
      <alignment vertical="center"/>
    </xf>
    <xf numFmtId="0" fontId="26" fillId="24" borderId="11" xfId="57" applyNumberFormat="1" applyFont="1" applyFill="1" applyBorder="1" applyAlignment="1">
      <alignment horizontal="right" vertical="center" wrapText="1"/>
      <protection/>
    </xf>
    <xf numFmtId="0" fontId="26" fillId="24" borderId="12" xfId="57" applyFont="1" applyFill="1" applyBorder="1" applyAlignment="1">
      <alignment vertical="center" wrapText="1"/>
      <protection/>
    </xf>
    <xf numFmtId="2" fontId="26" fillId="24" borderId="12" xfId="57" applyNumberFormat="1" applyFont="1" applyFill="1" applyBorder="1" applyAlignment="1">
      <alignment horizontal="right" vertical="center"/>
      <protection/>
    </xf>
    <xf numFmtId="0" fontId="23" fillId="24" borderId="13" xfId="0" applyNumberFormat="1" applyFont="1" applyFill="1" applyBorder="1" applyAlignment="1" applyProtection="1">
      <alignment horizontal="right" vertical="center"/>
      <protection/>
    </xf>
    <xf numFmtId="0" fontId="23" fillId="24" borderId="14" xfId="0" applyNumberFormat="1" applyFont="1" applyFill="1" applyBorder="1" applyAlignment="1" applyProtection="1">
      <alignment vertical="center" wrapText="1"/>
      <protection/>
    </xf>
    <xf numFmtId="43" fontId="22" fillId="24" borderId="14" xfId="42" applyFont="1" applyFill="1" applyBorder="1" applyAlignment="1" applyProtection="1">
      <alignment horizontal="right" vertical="center"/>
      <protection/>
    </xf>
    <xf numFmtId="2" fontId="22" fillId="24" borderId="14" xfId="0" applyNumberFormat="1" applyFont="1" applyFill="1" applyBorder="1" applyAlignment="1" applyProtection="1">
      <alignment horizontal="right" vertical="center"/>
      <protection/>
    </xf>
    <xf numFmtId="2" fontId="22" fillId="24" borderId="8" xfId="0" applyNumberFormat="1" applyFont="1" applyFill="1" applyBorder="1" applyAlignment="1" applyProtection="1">
      <alignment vertical="center"/>
      <protection/>
    </xf>
    <xf numFmtId="0" fontId="22" fillId="24" borderId="13" xfId="0" applyNumberFormat="1" applyFont="1" applyFill="1" applyBorder="1" applyAlignment="1" applyProtection="1">
      <alignment horizontal="right" vertical="center"/>
      <protection/>
    </xf>
    <xf numFmtId="0" fontId="22" fillId="24" borderId="14" xfId="0" applyNumberFormat="1" applyFont="1" applyFill="1" applyBorder="1" applyAlignment="1" applyProtection="1">
      <alignment vertical="center" wrapText="1"/>
      <protection/>
    </xf>
    <xf numFmtId="0" fontId="25" fillId="24" borderId="12" xfId="57" applyFont="1" applyFill="1" applyBorder="1" applyAlignment="1">
      <alignment vertical="center" wrapText="1"/>
      <protection/>
    </xf>
    <xf numFmtId="0" fontId="26" fillId="24" borderId="15" xfId="57" applyFont="1" applyFill="1" applyBorder="1" applyAlignment="1">
      <alignment vertical="center" wrapText="1"/>
      <protection/>
    </xf>
    <xf numFmtId="0" fontId="25" fillId="24" borderId="15" xfId="57" applyFont="1" applyFill="1" applyBorder="1" applyAlignment="1">
      <alignment vertical="center" wrapText="1"/>
      <protection/>
    </xf>
    <xf numFmtId="0" fontId="25" fillId="24" borderId="16" xfId="57" applyFont="1" applyFill="1" applyBorder="1" applyAlignment="1">
      <alignment vertical="center" wrapText="1"/>
      <protection/>
    </xf>
    <xf numFmtId="0" fontId="25" fillId="24" borderId="17" xfId="57" applyFont="1" applyFill="1" applyBorder="1" applyAlignment="1">
      <alignment vertical="center" wrapText="1"/>
      <protection/>
    </xf>
    <xf numFmtId="0" fontId="26" fillId="24" borderId="18" xfId="57" applyNumberFormat="1" applyFont="1" applyFill="1" applyBorder="1" applyAlignment="1">
      <alignment vertical="center" wrapText="1"/>
      <protection/>
    </xf>
    <xf numFmtId="0" fontId="26" fillId="24" borderId="19" xfId="57" applyNumberFormat="1" applyFont="1" applyFill="1" applyBorder="1" applyAlignment="1">
      <alignment vertical="center" wrapText="1"/>
      <protection/>
    </xf>
    <xf numFmtId="0" fontId="26" fillId="24" borderId="10" xfId="57" applyFont="1" applyFill="1" applyBorder="1" applyAlignment="1">
      <alignment horizontal="center"/>
      <protection/>
    </xf>
    <xf numFmtId="0" fontId="26" fillId="24" borderId="11" xfId="57" applyFont="1" applyFill="1" applyBorder="1" applyAlignment="1">
      <alignment horizontal="center"/>
      <protection/>
    </xf>
    <xf numFmtId="0" fontId="26" fillId="24" borderId="12" xfId="57" applyFont="1" applyFill="1" applyBorder="1" applyAlignment="1">
      <alignment horizontal="center"/>
      <protection/>
    </xf>
    <xf numFmtId="0" fontId="26" fillId="24" borderId="15" xfId="57" applyFont="1" applyFill="1" applyBorder="1" applyAlignment="1">
      <alignment horizontal="center"/>
      <protection/>
    </xf>
    <xf numFmtId="0" fontId="26" fillId="24" borderId="20" xfId="57" applyFont="1" applyFill="1" applyBorder="1" applyAlignment="1">
      <alignment horizontal="center" vertical="center" wrapText="1"/>
      <protection/>
    </xf>
    <xf numFmtId="0" fontId="26" fillId="24" borderId="19" xfId="57" applyFont="1" applyFill="1" applyBorder="1" applyAlignment="1">
      <alignment horizontal="center" vertical="center" wrapText="1"/>
      <protection/>
    </xf>
    <xf numFmtId="0" fontId="26" fillId="24" borderId="21" xfId="57" applyFont="1" applyFill="1" applyBorder="1" applyAlignment="1">
      <alignment horizontal="center" vertical="center" wrapText="1"/>
      <protection/>
    </xf>
    <xf numFmtId="0" fontId="26" fillId="24" borderId="22" xfId="57" applyFont="1" applyFill="1" applyBorder="1" applyAlignment="1">
      <alignment horizontal="center" vertical="center" wrapText="1"/>
      <protection/>
    </xf>
    <xf numFmtId="0" fontId="26" fillId="24" borderId="23" xfId="57" applyFont="1" applyFill="1" applyBorder="1" applyAlignment="1">
      <alignment horizontal="center" vertical="center" wrapText="1"/>
      <protection/>
    </xf>
    <xf numFmtId="0" fontId="26" fillId="24" borderId="17" xfId="57" applyFont="1" applyFill="1" applyBorder="1" applyAlignment="1">
      <alignment horizontal="center" vertical="center" wrapText="1"/>
      <protection/>
    </xf>
    <xf numFmtId="0" fontId="25" fillId="24" borderId="11" xfId="57" applyFont="1" applyFill="1" applyBorder="1" applyAlignment="1">
      <alignment horizontal="left" vertical="center" wrapText="1"/>
      <protection/>
    </xf>
    <xf numFmtId="0" fontId="25" fillId="24" borderId="12" xfId="57" applyFont="1" applyFill="1" applyBorder="1" applyAlignment="1">
      <alignment horizontal="left" vertical="center" wrapText="1"/>
      <protection/>
    </xf>
    <xf numFmtId="0" fontId="26" fillId="24" borderId="11" xfId="57" applyFont="1" applyFill="1" applyBorder="1" applyAlignment="1">
      <alignment horizontal="left" vertical="center" wrapText="1"/>
      <protection/>
    </xf>
    <xf numFmtId="0" fontId="26" fillId="24" borderId="12" xfId="57" applyFont="1" applyFill="1" applyBorder="1" applyAlignment="1">
      <alignment horizontal="left" vertical="center" wrapText="1"/>
      <protection/>
    </xf>
    <xf numFmtId="0" fontId="26" fillId="24" borderId="15" xfId="57" applyFont="1" applyFill="1" applyBorder="1" applyAlignment="1">
      <alignment horizontal="left" vertical="center" wrapText="1"/>
      <protection/>
    </xf>
    <xf numFmtId="0" fontId="26" fillId="24" borderId="11" xfId="57" applyNumberFormat="1" applyFont="1" applyFill="1" applyBorder="1" applyAlignment="1">
      <alignment horizontal="left" vertical="center" wrapText="1"/>
      <protection/>
    </xf>
    <xf numFmtId="0" fontId="26" fillId="24" borderId="12" xfId="57" applyNumberFormat="1" applyFont="1" applyFill="1" applyBorder="1" applyAlignment="1">
      <alignment horizontal="left" vertical="center" wrapText="1"/>
      <protection/>
    </xf>
    <xf numFmtId="0" fontId="26" fillId="24" borderId="15" xfId="57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-revised form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.2"/>
      <sheetName val="St2a"/>
    </sheetNames>
    <sheetDataSet>
      <sheetData sheetId="0">
        <row r="64">
          <cell r="I64">
            <v>776.04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Y203"/>
  <sheetViews>
    <sheetView tabSelected="1" view="pageBreakPreview" zoomScaleSheetLayoutView="100" workbookViewId="0" topLeftCell="K171">
      <selection activeCell="BF197" sqref="BF197:BO197"/>
    </sheetView>
  </sheetViews>
  <sheetFormatPr defaultColWidth="11.421875" defaultRowHeight="12.75"/>
  <cols>
    <col min="1" max="1" width="5.28125" style="21" customWidth="1"/>
    <col min="2" max="2" width="25.421875" style="2" customWidth="1"/>
    <col min="3" max="3" width="7.8515625" style="12" customWidth="1"/>
    <col min="4" max="4" width="7.140625" style="12" bestFit="1" customWidth="1"/>
    <col min="5" max="5" width="6.28125" style="12" bestFit="1" customWidth="1"/>
    <col min="6" max="6" width="7.140625" style="12" customWidth="1"/>
    <col min="7" max="7" width="8.00390625" style="5" customWidth="1"/>
    <col min="8" max="8" width="8.8515625" style="12" customWidth="1"/>
    <col min="9" max="9" width="7.140625" style="12" bestFit="1" customWidth="1"/>
    <col min="10" max="10" width="7.00390625" style="12" bestFit="1" customWidth="1"/>
    <col min="11" max="11" width="6.8515625" style="12" customWidth="1"/>
    <col min="12" max="13" width="7.8515625" style="12" customWidth="1"/>
    <col min="14" max="14" width="7.28125" style="12" customWidth="1"/>
    <col min="15" max="15" width="7.140625" style="12" customWidth="1"/>
    <col min="16" max="16" width="6.7109375" style="12" customWidth="1"/>
    <col min="17" max="17" width="8.421875" style="12" bestFit="1" customWidth="1"/>
    <col min="18" max="18" width="7.8515625" style="12" customWidth="1"/>
    <col min="19" max="19" width="7.00390625" style="12" customWidth="1"/>
    <col min="20" max="20" width="7.140625" style="12" customWidth="1"/>
    <col min="21" max="21" width="6.7109375" style="12" customWidth="1"/>
    <col min="22" max="23" width="7.7109375" style="12" customWidth="1"/>
    <col min="24" max="25" width="6.57421875" style="12" customWidth="1"/>
    <col min="26" max="26" width="6.421875" style="12" customWidth="1"/>
    <col min="27" max="27" width="7.7109375" style="12" customWidth="1"/>
    <col min="28" max="29" width="8.00390625" style="12" customWidth="1"/>
    <col min="30" max="30" width="7.57421875" style="12" customWidth="1"/>
    <col min="31" max="31" width="6.7109375" style="12" customWidth="1"/>
    <col min="32" max="33" width="7.7109375" style="12" customWidth="1"/>
    <col min="34" max="34" width="7.8515625" style="12" customWidth="1"/>
    <col min="35" max="35" width="7.140625" style="12" customWidth="1"/>
    <col min="36" max="36" width="6.421875" style="12" customWidth="1"/>
    <col min="37" max="37" width="8.00390625" style="12" customWidth="1"/>
    <col min="38" max="38" width="7.8515625" style="12" customWidth="1"/>
    <col min="39" max="39" width="8.00390625" style="12" customWidth="1"/>
    <col min="40" max="40" width="6.8515625" style="12" customWidth="1"/>
    <col min="41" max="41" width="6.7109375" style="12" customWidth="1"/>
    <col min="42" max="42" width="7.7109375" style="12" customWidth="1"/>
    <col min="43" max="43" width="8.57421875" style="12" customWidth="1"/>
    <col min="44" max="44" width="8.00390625" style="12" customWidth="1"/>
    <col min="45" max="45" width="7.00390625" style="12" customWidth="1"/>
    <col min="46" max="46" width="7.421875" style="12" customWidth="1"/>
    <col min="47" max="47" width="8.421875" style="12" customWidth="1"/>
    <col min="48" max="48" width="10.7109375" style="12" customWidth="1"/>
    <col min="49" max="49" width="8.00390625" style="12" bestFit="1" customWidth="1"/>
    <col min="50" max="67" width="10.7109375" style="12" customWidth="1"/>
    <col min="68" max="68" width="9.28125" style="10" bestFit="1" customWidth="1"/>
    <col min="69" max="69" width="8.421875" style="11" customWidth="1"/>
    <col min="70" max="16384" width="11.421875" style="12" customWidth="1"/>
  </cols>
  <sheetData>
    <row r="1" spans="1:69" s="5" customFormat="1" ht="15">
      <c r="A1" s="71" t="s">
        <v>13</v>
      </c>
      <c r="B1" s="72"/>
      <c r="C1" s="68" t="s">
        <v>0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70"/>
      <c r="W1" s="68" t="s">
        <v>0</v>
      </c>
      <c r="X1" s="69"/>
      <c r="Y1" s="69"/>
      <c r="Z1" s="69"/>
      <c r="AA1" s="70"/>
      <c r="AB1" s="67" t="s">
        <v>1</v>
      </c>
      <c r="AC1" s="67"/>
      <c r="AD1" s="67"/>
      <c r="AE1" s="67"/>
      <c r="AF1" s="67"/>
      <c r="AG1" s="67" t="s">
        <v>2</v>
      </c>
      <c r="AH1" s="67"/>
      <c r="AI1" s="67"/>
      <c r="AJ1" s="67"/>
      <c r="AK1" s="67"/>
      <c r="AL1" s="67" t="s">
        <v>3</v>
      </c>
      <c r="AM1" s="67"/>
      <c r="AN1" s="67"/>
      <c r="AO1" s="67"/>
      <c r="AP1" s="67"/>
      <c r="AQ1" s="67" t="s">
        <v>4</v>
      </c>
      <c r="AR1" s="67"/>
      <c r="AS1" s="67"/>
      <c r="AT1" s="67"/>
      <c r="AU1" s="67"/>
      <c r="AV1" s="68" t="s">
        <v>4</v>
      </c>
      <c r="AW1" s="69"/>
      <c r="AX1" s="69"/>
      <c r="AY1" s="69"/>
      <c r="AZ1" s="69"/>
      <c r="BA1" s="69"/>
      <c r="BB1" s="69"/>
      <c r="BC1" s="69"/>
      <c r="BD1" s="69"/>
      <c r="BE1" s="69"/>
      <c r="BF1" s="68" t="s">
        <v>4</v>
      </c>
      <c r="BG1" s="69"/>
      <c r="BH1" s="69"/>
      <c r="BI1" s="69"/>
      <c r="BJ1" s="69"/>
      <c r="BK1" s="69"/>
      <c r="BL1" s="69"/>
      <c r="BM1" s="69"/>
      <c r="BN1" s="69"/>
      <c r="BO1" s="69"/>
      <c r="BP1" s="3"/>
      <c r="BQ1" s="4"/>
    </row>
    <row r="2" spans="1:69" s="5" customFormat="1" ht="15">
      <c r="A2" s="73"/>
      <c r="B2" s="74"/>
      <c r="C2" s="68" t="s">
        <v>5</v>
      </c>
      <c r="D2" s="69"/>
      <c r="E2" s="69"/>
      <c r="F2" s="69"/>
      <c r="G2" s="70"/>
      <c r="H2" s="68" t="s">
        <v>6</v>
      </c>
      <c r="I2" s="69"/>
      <c r="J2" s="69"/>
      <c r="K2" s="69"/>
      <c r="L2" s="70"/>
      <c r="M2" s="68" t="s">
        <v>7</v>
      </c>
      <c r="N2" s="69"/>
      <c r="O2" s="69"/>
      <c r="P2" s="69"/>
      <c r="Q2" s="70"/>
      <c r="R2" s="68" t="s">
        <v>8</v>
      </c>
      <c r="S2" s="69"/>
      <c r="T2" s="69"/>
      <c r="U2" s="69"/>
      <c r="V2" s="70"/>
      <c r="W2" s="67" t="s">
        <v>9</v>
      </c>
      <c r="X2" s="67"/>
      <c r="Y2" s="67"/>
      <c r="Z2" s="67"/>
      <c r="AA2" s="67"/>
      <c r="AB2" s="68" t="s">
        <v>10</v>
      </c>
      <c r="AC2" s="69"/>
      <c r="AD2" s="69"/>
      <c r="AE2" s="69"/>
      <c r="AF2" s="70"/>
      <c r="AG2" s="68" t="s">
        <v>11</v>
      </c>
      <c r="AH2" s="69"/>
      <c r="AI2" s="69"/>
      <c r="AJ2" s="69"/>
      <c r="AK2" s="70"/>
      <c r="AL2" s="67" t="s">
        <v>12</v>
      </c>
      <c r="AM2" s="67"/>
      <c r="AN2" s="67"/>
      <c r="AO2" s="67"/>
      <c r="AP2" s="67"/>
      <c r="AQ2" s="67" t="s">
        <v>136</v>
      </c>
      <c r="AR2" s="67"/>
      <c r="AS2" s="67"/>
      <c r="AT2" s="67"/>
      <c r="AU2" s="67"/>
      <c r="AV2" s="67" t="s">
        <v>137</v>
      </c>
      <c r="AW2" s="67"/>
      <c r="AX2" s="67"/>
      <c r="AY2" s="67"/>
      <c r="AZ2" s="67"/>
      <c r="BA2" s="67" t="s">
        <v>138</v>
      </c>
      <c r="BB2" s="67"/>
      <c r="BC2" s="67"/>
      <c r="BD2" s="67"/>
      <c r="BE2" s="67"/>
      <c r="BF2" s="67" t="s">
        <v>139</v>
      </c>
      <c r="BG2" s="67"/>
      <c r="BH2" s="67"/>
      <c r="BI2" s="67"/>
      <c r="BJ2" s="67"/>
      <c r="BK2" s="67" t="s">
        <v>140</v>
      </c>
      <c r="BL2" s="67"/>
      <c r="BM2" s="67"/>
      <c r="BN2" s="67"/>
      <c r="BO2" s="67"/>
      <c r="BP2" s="3"/>
      <c r="BQ2" s="4"/>
    </row>
    <row r="3" spans="1:69" s="5" customFormat="1" ht="60">
      <c r="A3" s="75"/>
      <c r="B3" s="76"/>
      <c r="C3" s="6" t="s">
        <v>14</v>
      </c>
      <c r="D3" s="6" t="s">
        <v>15</v>
      </c>
      <c r="E3" s="6" t="s">
        <v>16</v>
      </c>
      <c r="F3" s="6" t="s">
        <v>221</v>
      </c>
      <c r="G3" s="6" t="s">
        <v>17</v>
      </c>
      <c r="H3" s="6" t="s">
        <v>14</v>
      </c>
      <c r="I3" s="6" t="s">
        <v>15</v>
      </c>
      <c r="J3" s="6" t="s">
        <v>18</v>
      </c>
      <c r="K3" s="6" t="s">
        <v>221</v>
      </c>
      <c r="L3" s="6" t="s">
        <v>17</v>
      </c>
      <c r="M3" s="6" t="s">
        <v>14</v>
      </c>
      <c r="N3" s="6" t="s">
        <v>15</v>
      </c>
      <c r="O3" s="6" t="s">
        <v>18</v>
      </c>
      <c r="P3" s="6" t="s">
        <v>221</v>
      </c>
      <c r="Q3" s="6" t="s">
        <v>17</v>
      </c>
      <c r="R3" s="6" t="s">
        <v>14</v>
      </c>
      <c r="S3" s="6" t="s">
        <v>15</v>
      </c>
      <c r="T3" s="6" t="s">
        <v>18</v>
      </c>
      <c r="U3" s="6" t="s">
        <v>221</v>
      </c>
      <c r="V3" s="6" t="s">
        <v>17</v>
      </c>
      <c r="W3" s="6" t="s">
        <v>14</v>
      </c>
      <c r="X3" s="6" t="s">
        <v>15</v>
      </c>
      <c r="Y3" s="6" t="s">
        <v>18</v>
      </c>
      <c r="Z3" s="6" t="s">
        <v>221</v>
      </c>
      <c r="AA3" s="6" t="s">
        <v>17</v>
      </c>
      <c r="AB3" s="6" t="s">
        <v>14</v>
      </c>
      <c r="AC3" s="6" t="s">
        <v>15</v>
      </c>
      <c r="AD3" s="6" t="s">
        <v>18</v>
      </c>
      <c r="AE3" s="6" t="s">
        <v>221</v>
      </c>
      <c r="AF3" s="6" t="s">
        <v>17</v>
      </c>
      <c r="AG3" s="6" t="s">
        <v>14</v>
      </c>
      <c r="AH3" s="6" t="s">
        <v>15</v>
      </c>
      <c r="AI3" s="6" t="s">
        <v>18</v>
      </c>
      <c r="AJ3" s="6" t="s">
        <v>221</v>
      </c>
      <c r="AK3" s="6" t="s">
        <v>17</v>
      </c>
      <c r="AL3" s="6" t="s">
        <v>14</v>
      </c>
      <c r="AM3" s="6" t="s">
        <v>15</v>
      </c>
      <c r="AN3" s="6" t="s">
        <v>18</v>
      </c>
      <c r="AO3" s="6" t="s">
        <v>221</v>
      </c>
      <c r="AP3" s="6" t="s">
        <v>17</v>
      </c>
      <c r="AQ3" s="6" t="s">
        <v>14</v>
      </c>
      <c r="AR3" s="6" t="s">
        <v>15</v>
      </c>
      <c r="AS3" s="6" t="s">
        <v>18</v>
      </c>
      <c r="AT3" s="6" t="s">
        <v>221</v>
      </c>
      <c r="AU3" s="6" t="s">
        <v>17</v>
      </c>
      <c r="AV3" s="6" t="s">
        <v>14</v>
      </c>
      <c r="AW3" s="6" t="s">
        <v>15</v>
      </c>
      <c r="AX3" s="6" t="s">
        <v>18</v>
      </c>
      <c r="AY3" s="6" t="s">
        <v>222</v>
      </c>
      <c r="AZ3" s="6" t="s">
        <v>17</v>
      </c>
      <c r="BA3" s="6" t="s">
        <v>14</v>
      </c>
      <c r="BB3" s="6" t="s">
        <v>15</v>
      </c>
      <c r="BC3" s="6" t="s">
        <v>18</v>
      </c>
      <c r="BD3" s="6" t="s">
        <v>221</v>
      </c>
      <c r="BE3" s="6" t="s">
        <v>17</v>
      </c>
      <c r="BF3" s="6" t="s">
        <v>14</v>
      </c>
      <c r="BG3" s="6" t="s">
        <v>15</v>
      </c>
      <c r="BH3" s="6" t="s">
        <v>18</v>
      </c>
      <c r="BI3" s="6" t="s">
        <v>221</v>
      </c>
      <c r="BJ3" s="6" t="s">
        <v>17</v>
      </c>
      <c r="BK3" s="6" t="s">
        <v>14</v>
      </c>
      <c r="BL3" s="6" t="s">
        <v>15</v>
      </c>
      <c r="BM3" s="6" t="s">
        <v>18</v>
      </c>
      <c r="BN3" s="6" t="s">
        <v>221</v>
      </c>
      <c r="BO3" s="6" t="s">
        <v>17</v>
      </c>
      <c r="BP3" s="3"/>
      <c r="BQ3" s="4"/>
    </row>
    <row r="4" spans="1:67" ht="15">
      <c r="A4" s="7">
        <v>1</v>
      </c>
      <c r="B4" s="8">
        <v>2</v>
      </c>
      <c r="C4" s="9">
        <v>3</v>
      </c>
      <c r="D4" s="9">
        <v>4</v>
      </c>
      <c r="E4" s="9">
        <v>5</v>
      </c>
      <c r="F4" s="9"/>
      <c r="G4" s="9">
        <v>6</v>
      </c>
      <c r="H4" s="9">
        <v>7</v>
      </c>
      <c r="I4" s="9">
        <v>8</v>
      </c>
      <c r="J4" s="9">
        <v>9</v>
      </c>
      <c r="K4" s="9"/>
      <c r="L4" s="9">
        <v>10</v>
      </c>
      <c r="M4" s="9">
        <v>11</v>
      </c>
      <c r="N4" s="9">
        <v>12</v>
      </c>
      <c r="O4" s="9">
        <v>13</v>
      </c>
      <c r="P4" s="9"/>
      <c r="Q4" s="9">
        <v>14</v>
      </c>
      <c r="R4" s="9">
        <v>15</v>
      </c>
      <c r="S4" s="9">
        <v>16</v>
      </c>
      <c r="T4" s="9">
        <v>17</v>
      </c>
      <c r="U4" s="9"/>
      <c r="V4" s="9">
        <v>18</v>
      </c>
      <c r="W4" s="9">
        <v>19</v>
      </c>
      <c r="X4" s="9">
        <v>20</v>
      </c>
      <c r="Y4" s="9">
        <v>21</v>
      </c>
      <c r="Z4" s="9"/>
      <c r="AA4" s="9">
        <v>22</v>
      </c>
      <c r="AB4" s="9">
        <v>23</v>
      </c>
      <c r="AC4" s="9">
        <v>24</v>
      </c>
      <c r="AD4" s="9">
        <v>25</v>
      </c>
      <c r="AE4" s="9"/>
      <c r="AF4" s="9">
        <v>26</v>
      </c>
      <c r="AG4" s="9">
        <v>27</v>
      </c>
      <c r="AH4" s="9">
        <v>28</v>
      </c>
      <c r="AI4" s="9">
        <v>29</v>
      </c>
      <c r="AJ4" s="9"/>
      <c r="AK4" s="9">
        <v>30</v>
      </c>
      <c r="AL4" s="9">
        <v>31</v>
      </c>
      <c r="AM4" s="9">
        <v>32</v>
      </c>
      <c r="AN4" s="9">
        <v>33</v>
      </c>
      <c r="AO4" s="9"/>
      <c r="AP4" s="9">
        <v>34</v>
      </c>
      <c r="AQ4" s="9">
        <v>35</v>
      </c>
      <c r="AR4" s="9">
        <v>36</v>
      </c>
      <c r="AS4" s="9">
        <v>37</v>
      </c>
      <c r="AT4" s="9"/>
      <c r="AU4" s="9">
        <v>38</v>
      </c>
      <c r="AV4" s="9">
        <v>39</v>
      </c>
      <c r="AW4" s="9">
        <v>40</v>
      </c>
      <c r="AX4" s="9">
        <v>41</v>
      </c>
      <c r="AY4" s="9"/>
      <c r="AZ4" s="9">
        <v>42</v>
      </c>
      <c r="BA4" s="9">
        <v>43</v>
      </c>
      <c r="BB4" s="9">
        <v>44</v>
      </c>
      <c r="BC4" s="9">
        <v>45</v>
      </c>
      <c r="BD4" s="9"/>
      <c r="BE4" s="9">
        <v>46</v>
      </c>
      <c r="BF4" s="9">
        <v>47</v>
      </c>
      <c r="BG4" s="9">
        <v>48</v>
      </c>
      <c r="BH4" s="9">
        <v>49</v>
      </c>
      <c r="BI4" s="9"/>
      <c r="BJ4" s="9">
        <v>50</v>
      </c>
      <c r="BK4" s="9">
        <v>51</v>
      </c>
      <c r="BL4" s="9">
        <v>52</v>
      </c>
      <c r="BM4" s="9">
        <v>53</v>
      </c>
      <c r="BN4" s="9"/>
      <c r="BO4" s="9">
        <v>54</v>
      </c>
    </row>
    <row r="5" spans="1:69" s="19" customFormat="1" ht="15">
      <c r="A5" s="13" t="s">
        <v>19</v>
      </c>
      <c r="B5" s="14" t="s">
        <v>20</v>
      </c>
      <c r="C5" s="15">
        <f aca="true" t="shared" si="0" ref="C5:BN5">SUM(C6+C12+C22+C30+C45)</f>
        <v>1549.93</v>
      </c>
      <c r="D5" s="16">
        <f t="shared" si="0"/>
        <v>17.36</v>
      </c>
      <c r="E5" s="16">
        <f t="shared" si="0"/>
        <v>1.15</v>
      </c>
      <c r="F5" s="16">
        <f>SUM(F6+F12+F22+F30+F45)</f>
        <v>0</v>
      </c>
      <c r="G5" s="15">
        <f t="shared" si="0"/>
        <v>1567.2900000000002</v>
      </c>
      <c r="H5" s="15">
        <f t="shared" si="0"/>
        <v>1327.9099999999999</v>
      </c>
      <c r="I5" s="15">
        <f t="shared" si="0"/>
        <v>9.12</v>
      </c>
      <c r="J5" s="15">
        <f t="shared" si="0"/>
        <v>2.47</v>
      </c>
      <c r="K5" s="16">
        <f t="shared" si="0"/>
        <v>0</v>
      </c>
      <c r="L5" s="15">
        <f t="shared" si="0"/>
        <v>1337.03</v>
      </c>
      <c r="M5" s="15">
        <f t="shared" si="0"/>
        <v>1511.98</v>
      </c>
      <c r="N5" s="15">
        <f t="shared" si="0"/>
        <v>35.12</v>
      </c>
      <c r="O5" s="15">
        <f t="shared" si="0"/>
        <v>3.11</v>
      </c>
      <c r="P5" s="16">
        <f>SUM(P6+P12+P22+P30+P45)</f>
        <v>0</v>
      </c>
      <c r="Q5" s="15">
        <f t="shared" si="0"/>
        <v>1547.1</v>
      </c>
      <c r="R5" s="15">
        <f t="shared" si="0"/>
        <v>1549.0100000000002</v>
      </c>
      <c r="S5" s="15">
        <f t="shared" si="0"/>
        <v>19.040000000000003</v>
      </c>
      <c r="T5" s="15">
        <f t="shared" si="0"/>
        <v>0.71</v>
      </c>
      <c r="U5" s="16">
        <f>SUM(U6+U12+U22+U30+U45)</f>
        <v>0</v>
      </c>
      <c r="V5" s="15">
        <f t="shared" si="0"/>
        <v>1568.0500000000002</v>
      </c>
      <c r="W5" s="15">
        <f t="shared" si="0"/>
        <v>1506.0300000000002</v>
      </c>
      <c r="X5" s="15">
        <f t="shared" si="0"/>
        <v>29.29</v>
      </c>
      <c r="Y5" s="15">
        <f t="shared" si="0"/>
        <v>2.6500000000000004</v>
      </c>
      <c r="Z5" s="16">
        <f t="shared" si="0"/>
        <v>0</v>
      </c>
      <c r="AA5" s="15">
        <f t="shared" si="0"/>
        <v>1535.3200000000002</v>
      </c>
      <c r="AB5" s="15">
        <f t="shared" si="0"/>
        <v>1616.6</v>
      </c>
      <c r="AC5" s="15">
        <f t="shared" si="0"/>
        <v>29.369999999999997</v>
      </c>
      <c r="AD5" s="15">
        <f t="shared" si="0"/>
        <v>2.9299999999999997</v>
      </c>
      <c r="AE5" s="16">
        <f>SUM(AE6+AE12+AE22+AE30+AE45)</f>
        <v>0</v>
      </c>
      <c r="AF5" s="15">
        <f t="shared" si="0"/>
        <v>1645.9699999999998</v>
      </c>
      <c r="AG5" s="15">
        <f t="shared" si="0"/>
        <v>1709.56</v>
      </c>
      <c r="AH5" s="15">
        <f t="shared" si="0"/>
        <v>54.42</v>
      </c>
      <c r="AI5" s="15">
        <f t="shared" si="0"/>
        <v>12.870000000000001</v>
      </c>
      <c r="AJ5" s="15">
        <f t="shared" si="0"/>
        <v>0</v>
      </c>
      <c r="AK5" s="15">
        <f t="shared" si="0"/>
        <v>1763.98</v>
      </c>
      <c r="AL5" s="15">
        <f t="shared" si="0"/>
        <v>1981.2144656410817</v>
      </c>
      <c r="AM5" s="15">
        <f t="shared" si="0"/>
        <v>60.520198994437344</v>
      </c>
      <c r="AN5" s="15">
        <f t="shared" si="0"/>
        <v>14.317875</v>
      </c>
      <c r="AO5" s="15">
        <f t="shared" si="0"/>
        <v>0</v>
      </c>
      <c r="AP5" s="15">
        <f t="shared" si="0"/>
        <v>2041.734664635519</v>
      </c>
      <c r="AQ5" s="15">
        <f>SUM(AQ6+AQ12+AQ22+AQ30+AQ45)</f>
        <v>2203.6733735654166</v>
      </c>
      <c r="AR5" s="15">
        <f t="shared" si="0"/>
        <v>67.30446435335547</v>
      </c>
      <c r="AS5" s="15">
        <f t="shared" si="0"/>
        <v>15.928635937500001</v>
      </c>
      <c r="AT5" s="15">
        <f t="shared" si="0"/>
        <v>0</v>
      </c>
      <c r="AU5" s="15">
        <f>AQ5+AR5</f>
        <v>2270.977837918772</v>
      </c>
      <c r="AV5" s="15">
        <f>SUM(AV6+AV12+AV22+AV30+AV45)</f>
        <v>2312.6049142792326</v>
      </c>
      <c r="AW5" s="15">
        <f t="shared" si="0"/>
        <v>74.84953284829689</v>
      </c>
      <c r="AX5" s="15">
        <f t="shared" si="0"/>
        <v>17.72060748046875</v>
      </c>
      <c r="AY5" s="15">
        <f t="shared" si="0"/>
        <v>0</v>
      </c>
      <c r="AZ5" s="15">
        <f>AV5+AW5</f>
        <v>2387.4544471275294</v>
      </c>
      <c r="BA5" s="15">
        <f>SUM(BA6+BA12+BA22+BA30+BA45)</f>
        <v>2527.0792770662433</v>
      </c>
      <c r="BB5" s="15">
        <f t="shared" si="0"/>
        <v>83.24075205893037</v>
      </c>
      <c r="BC5" s="15">
        <f t="shared" si="0"/>
        <v>19.714175822021488</v>
      </c>
      <c r="BD5" s="15">
        <f t="shared" si="0"/>
        <v>0</v>
      </c>
      <c r="BE5" s="15">
        <f>BA5+BB5</f>
        <v>2610.3200291251737</v>
      </c>
      <c r="BF5" s="15">
        <f>SUM(BF6+BF12+BF22+BF30+BF45)</f>
        <v>2599.570116009285</v>
      </c>
      <c r="BG5" s="15">
        <f t="shared" si="0"/>
        <v>92.57304688017499</v>
      </c>
      <c r="BH5" s="15">
        <f t="shared" si="0"/>
        <v>21.9320206019989</v>
      </c>
      <c r="BI5" s="15">
        <f t="shared" si="0"/>
        <v>0</v>
      </c>
      <c r="BJ5" s="15">
        <f t="shared" si="0"/>
        <v>2692.1431628894597</v>
      </c>
      <c r="BK5" s="15">
        <f t="shared" si="0"/>
        <v>2976.0213982732485</v>
      </c>
      <c r="BL5" s="15">
        <f t="shared" si="0"/>
        <v>102.95199454040416</v>
      </c>
      <c r="BM5" s="15">
        <f t="shared" si="0"/>
        <v>24.399372919723778</v>
      </c>
      <c r="BN5" s="15">
        <f t="shared" si="0"/>
        <v>0</v>
      </c>
      <c r="BO5" s="15">
        <f>BK5+BL5</f>
        <v>3078.9733928136525</v>
      </c>
      <c r="BP5" s="17">
        <v>0.11189255934245239</v>
      </c>
      <c r="BQ5" s="18">
        <v>11.210564139301681</v>
      </c>
    </row>
    <row r="6" spans="1:69" s="19" customFormat="1" ht="15">
      <c r="A6" s="13" t="s">
        <v>21</v>
      </c>
      <c r="B6" s="14" t="s">
        <v>22</v>
      </c>
      <c r="C6" s="15">
        <f aca="true" t="shared" si="1" ref="C6:K6">SUM(C7:C11)</f>
        <v>24.96</v>
      </c>
      <c r="D6" s="15">
        <f t="shared" si="1"/>
        <v>0</v>
      </c>
      <c r="E6" s="15">
        <f t="shared" si="1"/>
        <v>0</v>
      </c>
      <c r="F6" s="15">
        <f>SUM(F7:F11)</f>
        <v>0</v>
      </c>
      <c r="G6" s="15">
        <f t="shared" si="1"/>
        <v>24.96</v>
      </c>
      <c r="H6" s="15">
        <f t="shared" si="1"/>
        <v>27.28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>SUM(H6:J6)</f>
        <v>27.28</v>
      </c>
      <c r="M6" s="15">
        <f>SUM(M7:M11)</f>
        <v>46.3</v>
      </c>
      <c r="N6" s="15">
        <f>SUM(N7:N11)</f>
        <v>0</v>
      </c>
      <c r="O6" s="15">
        <f>SUM(O7:O11)</f>
        <v>0</v>
      </c>
      <c r="P6" s="15">
        <f>SUM(P7:P11)</f>
        <v>0</v>
      </c>
      <c r="Q6" s="15">
        <f>SUM(M6:O6)</f>
        <v>46.3</v>
      </c>
      <c r="R6" s="15">
        <f>SUM(R7:R11)</f>
        <v>38.08</v>
      </c>
      <c r="S6" s="15">
        <f>SUM(S7:S11)</f>
        <v>0</v>
      </c>
      <c r="T6" s="15">
        <f>SUM(T7:T11)</f>
        <v>0</v>
      </c>
      <c r="U6" s="15">
        <f>SUM(U7:U11)</f>
        <v>0</v>
      </c>
      <c r="V6" s="15">
        <f>+R6+S6</f>
        <v>38.08</v>
      </c>
      <c r="W6" s="15">
        <f>SUM(W7:W11)</f>
        <v>45.47</v>
      </c>
      <c r="X6" s="15">
        <f>SUM(X7:X11)</f>
        <v>0</v>
      </c>
      <c r="Y6" s="15">
        <f>SUM(Y7:Y11)</f>
        <v>0</v>
      </c>
      <c r="Z6" s="15">
        <f>SUM(Z7:Z11)</f>
        <v>0</v>
      </c>
      <c r="AA6" s="15">
        <f>+W6+X6</f>
        <v>45.47</v>
      </c>
      <c r="AB6" s="15">
        <f>SUM(AB7:AB11)</f>
        <v>54.260000000000005</v>
      </c>
      <c r="AC6" s="15">
        <f>SUM(AC7:AC11)</f>
        <v>0</v>
      </c>
      <c r="AD6" s="15">
        <f>SUM(AD7:AD11)</f>
        <v>0</v>
      </c>
      <c r="AE6" s="15">
        <f>SUM(AE7:AE11)</f>
        <v>0</v>
      </c>
      <c r="AF6" s="15">
        <f>+AB6+AC6</f>
        <v>54.260000000000005</v>
      </c>
      <c r="AG6" s="15">
        <f>SUM(AG7:AG11)</f>
        <v>63.51</v>
      </c>
      <c r="AH6" s="15">
        <f>SUM(AH7:AH11)</f>
        <v>0</v>
      </c>
      <c r="AI6" s="15">
        <f>SUM(AI7:AI11)</f>
        <v>0</v>
      </c>
      <c r="AJ6" s="15">
        <f>SUM(AJ7:AJ11)</f>
        <v>0</v>
      </c>
      <c r="AK6" s="15">
        <f aca="true" t="shared" si="2" ref="AK6:AK68">+AG6+AH6</f>
        <v>63.51</v>
      </c>
      <c r="AL6" s="15">
        <f>SUM(AL7:AL11)</f>
        <v>82.43082703962779</v>
      </c>
      <c r="AM6" s="15">
        <f>SUM(AM7:AM11)</f>
        <v>0</v>
      </c>
      <c r="AN6" s="15">
        <f>SUM(AN7:AN11)</f>
        <v>0</v>
      </c>
      <c r="AO6" s="15">
        <f>SUM(AO7:AO11)</f>
        <v>0</v>
      </c>
      <c r="AP6" s="15">
        <f aca="true" t="shared" si="3" ref="AP6:AP68">+AL6+AM6</f>
        <v>82.43082703962779</v>
      </c>
      <c r="AQ6" s="15">
        <f>SUM(AQ7:AQ11)</f>
        <v>95.53217690237676</v>
      </c>
      <c r="AR6" s="15">
        <f>SUM(AR7:AR11)</f>
        <v>0</v>
      </c>
      <c r="AS6" s="15">
        <f>SUM(AS7:AS11)</f>
        <v>0</v>
      </c>
      <c r="AT6" s="15">
        <f>SUM(AT7:AT11)</f>
        <v>0</v>
      </c>
      <c r="AU6" s="15">
        <f aca="true" t="shared" si="4" ref="AU6:AU68">+AQ6+AR6</f>
        <v>95.53217690237676</v>
      </c>
      <c r="AV6" s="15">
        <f aca="true" t="shared" si="5" ref="AV6:BD6">SUM(AV7:AV11)</f>
        <v>103.27827597148627</v>
      </c>
      <c r="AW6" s="15">
        <f t="shared" si="5"/>
        <v>0</v>
      </c>
      <c r="AX6" s="15">
        <f t="shared" si="5"/>
        <v>0</v>
      </c>
      <c r="AY6" s="15">
        <f t="shared" si="5"/>
        <v>0</v>
      </c>
      <c r="AZ6" s="15">
        <f t="shared" si="5"/>
        <v>103.27827597148627</v>
      </c>
      <c r="BA6" s="15">
        <f t="shared" si="5"/>
        <v>142.23508058153834</v>
      </c>
      <c r="BB6" s="15">
        <f t="shared" si="5"/>
        <v>0</v>
      </c>
      <c r="BC6" s="15">
        <f t="shared" si="5"/>
        <v>0</v>
      </c>
      <c r="BD6" s="15">
        <f t="shared" si="5"/>
        <v>0</v>
      </c>
      <c r="BE6" s="15">
        <f aca="true" t="shared" si="6" ref="BE6:BE68">+BA6+BB6</f>
        <v>142.23508058153834</v>
      </c>
      <c r="BF6" s="15">
        <f>SUM(BF7:BF11)</f>
        <v>145.09288609426497</v>
      </c>
      <c r="BG6" s="15">
        <f>SUM(BG7:BG11)</f>
        <v>0</v>
      </c>
      <c r="BH6" s="15">
        <f>SUM(BH7:BH11)</f>
        <v>0</v>
      </c>
      <c r="BI6" s="15">
        <f>SUM(BI7:BI11)</f>
        <v>0</v>
      </c>
      <c r="BJ6" s="15">
        <f aca="true" t="shared" si="7" ref="BJ6:BJ68">+BF6+BG6</f>
        <v>145.09288609426497</v>
      </c>
      <c r="BK6" s="15">
        <f>SUM(BK7:BK11)</f>
        <v>192.69399843365122</v>
      </c>
      <c r="BL6" s="15">
        <f>SUM(BL7:BL11)</f>
        <v>0</v>
      </c>
      <c r="BM6" s="15">
        <f>SUM(BM7:BM11)</f>
        <v>0</v>
      </c>
      <c r="BN6" s="15">
        <f>SUM(BN7:BN11)</f>
        <v>0</v>
      </c>
      <c r="BO6" s="15">
        <f aca="true" t="shared" si="8" ref="BO6:BO68">+BK6+BL6</f>
        <v>192.69399843365122</v>
      </c>
      <c r="BP6" s="20">
        <v>0.20815234809315</v>
      </c>
      <c r="BQ6" s="18"/>
    </row>
    <row r="7" spans="1:69" s="1" customFormat="1" ht="15">
      <c r="A7" s="21">
        <v>2011</v>
      </c>
      <c r="B7" s="22" t="s">
        <v>148</v>
      </c>
      <c r="C7" s="1">
        <v>4.53</v>
      </c>
      <c r="D7" s="23">
        <v>0</v>
      </c>
      <c r="E7" s="23">
        <v>0</v>
      </c>
      <c r="F7" s="23">
        <v>0</v>
      </c>
      <c r="G7" s="15">
        <f>C7+D7</f>
        <v>4.53</v>
      </c>
      <c r="H7" s="1">
        <f>4.67+0.23</f>
        <v>4.9</v>
      </c>
      <c r="I7" s="23">
        <v>0</v>
      </c>
      <c r="J7" s="23">
        <v>0</v>
      </c>
      <c r="K7" s="23">
        <v>0</v>
      </c>
      <c r="L7" s="15">
        <f>H7+I7</f>
        <v>4.9</v>
      </c>
      <c r="M7" s="24">
        <f>0.35+7.88</f>
        <v>8.23</v>
      </c>
      <c r="N7" s="23">
        <v>0</v>
      </c>
      <c r="O7" s="23">
        <v>0</v>
      </c>
      <c r="P7" s="23">
        <v>0</v>
      </c>
      <c r="Q7" s="25">
        <f>+M7+N7</f>
        <v>8.23</v>
      </c>
      <c r="R7" s="24">
        <v>8.3</v>
      </c>
      <c r="S7" s="23">
        <v>0</v>
      </c>
      <c r="T7" s="23">
        <v>0</v>
      </c>
      <c r="U7" s="23">
        <v>0</v>
      </c>
      <c r="V7" s="15">
        <f aca="true" t="shared" si="9" ref="V7:V69">+R7+S7</f>
        <v>8.3</v>
      </c>
      <c r="W7" s="1">
        <v>12.25</v>
      </c>
      <c r="X7" s="23">
        <v>0</v>
      </c>
      <c r="Y7" s="23">
        <v>0</v>
      </c>
      <c r="Z7" s="23">
        <v>0</v>
      </c>
      <c r="AA7" s="15">
        <f aca="true" t="shared" si="10" ref="AA7:AA69">+W7+X7</f>
        <v>12.25</v>
      </c>
      <c r="AB7" s="1">
        <v>11.58</v>
      </c>
      <c r="AC7" s="26">
        <v>0</v>
      </c>
      <c r="AD7" s="26">
        <v>0</v>
      </c>
      <c r="AE7" s="23">
        <v>0</v>
      </c>
      <c r="AF7" s="15">
        <f aca="true" t="shared" si="11" ref="AF7:AF69">+AB7+AC7</f>
        <v>11.58</v>
      </c>
      <c r="AG7" s="26">
        <v>12.96</v>
      </c>
      <c r="AH7" s="26">
        <v>0</v>
      </c>
      <c r="AI7" s="26">
        <v>0</v>
      </c>
      <c r="AJ7" s="23">
        <v>0</v>
      </c>
      <c r="AK7" s="15">
        <f t="shared" si="2"/>
        <v>12.96</v>
      </c>
      <c r="AL7" s="26">
        <f aca="true" t="shared" si="12" ref="AL7:AM10">AG7+(AG7*BP7)</f>
        <v>15.644621449855556</v>
      </c>
      <c r="AM7" s="26">
        <f t="shared" si="12"/>
        <v>0</v>
      </c>
      <c r="AN7" s="26">
        <f>AI7+(AI7*BQ7)</f>
        <v>0</v>
      </c>
      <c r="AO7" s="23">
        <v>0</v>
      </c>
      <c r="AP7" s="15">
        <f t="shared" si="3"/>
        <v>15.644621449855556</v>
      </c>
      <c r="AQ7" s="26">
        <f aca="true" t="shared" si="13" ref="AQ7:AR10">AL7+(AL7*BP7)</f>
        <v>18.88535341892597</v>
      </c>
      <c r="AR7" s="26">
        <f t="shared" si="13"/>
        <v>0</v>
      </c>
      <c r="AS7" s="26">
        <f>AN7+(AN7*BQ7)</f>
        <v>0</v>
      </c>
      <c r="AT7" s="23">
        <v>0</v>
      </c>
      <c r="AU7" s="15">
        <f t="shared" si="4"/>
        <v>18.88535341892597</v>
      </c>
      <c r="AV7" s="26">
        <f aca="true" t="shared" si="14" ref="AV7:AW10">AQ7+(AQ7*BP7)</f>
        <v>22.797392375450013</v>
      </c>
      <c r="AW7" s="26">
        <f t="shared" si="14"/>
        <v>0</v>
      </c>
      <c r="AX7" s="26">
        <f>AS7+(AS7*BQ7)</f>
        <v>0</v>
      </c>
      <c r="AY7" s="26"/>
      <c r="AZ7" s="15">
        <f aca="true" t="shared" si="15" ref="AZ7:AZ69">+AV7+AW7</f>
        <v>22.797392375450013</v>
      </c>
      <c r="BA7" s="26">
        <f aca="true" t="shared" si="16" ref="BA7:BB10">AV7+(AV7*BP7)</f>
        <v>27.519797357850216</v>
      </c>
      <c r="BB7" s="26">
        <f t="shared" si="16"/>
        <v>0</v>
      </c>
      <c r="BC7" s="26">
        <f>AX7+(AX7*BQ7)</f>
        <v>0</v>
      </c>
      <c r="BD7" s="23">
        <v>0</v>
      </c>
      <c r="BE7" s="15">
        <f>SUM(BA7:BC7)</f>
        <v>27.519797357850216</v>
      </c>
      <c r="BF7" s="26">
        <f aca="true" t="shared" si="17" ref="BF7:BG10">BA7+(BA7*BP7)</f>
        <v>33.22043302780106</v>
      </c>
      <c r="BG7" s="26">
        <f t="shared" si="17"/>
        <v>0</v>
      </c>
      <c r="BH7" s="26">
        <f>BC7+(BC7*BQ7)</f>
        <v>0</v>
      </c>
      <c r="BI7" s="23">
        <v>0</v>
      </c>
      <c r="BJ7" s="15">
        <f t="shared" si="7"/>
        <v>33.22043302780106</v>
      </c>
      <c r="BK7" s="26">
        <f aca="true" t="shared" si="18" ref="BK7:BL10">BF7+(BF7*BP7)</f>
        <v>40.10193666051129</v>
      </c>
      <c r="BL7" s="26">
        <f t="shared" si="18"/>
        <v>0</v>
      </c>
      <c r="BM7" s="26">
        <f>BH7+(BH7*BQ7)</f>
        <v>0</v>
      </c>
      <c r="BN7" s="26">
        <f>BI7+(BI7*BU7)</f>
        <v>0</v>
      </c>
      <c r="BO7" s="15">
        <f t="shared" si="8"/>
        <v>40.10193666051129</v>
      </c>
      <c r="BP7" s="20">
        <v>0.20714671680984226</v>
      </c>
      <c r="BQ7" s="18"/>
    </row>
    <row r="8" spans="1:69" s="1" customFormat="1" ht="15">
      <c r="A8" s="21">
        <v>2012</v>
      </c>
      <c r="B8" s="22" t="s">
        <v>149</v>
      </c>
      <c r="C8" s="1">
        <v>2.52</v>
      </c>
      <c r="D8" s="23">
        <v>0</v>
      </c>
      <c r="E8" s="23">
        <v>0</v>
      </c>
      <c r="F8" s="23">
        <v>0</v>
      </c>
      <c r="G8" s="15">
        <f>C8+D8</f>
        <v>2.52</v>
      </c>
      <c r="H8" s="1">
        <v>3.4</v>
      </c>
      <c r="I8" s="23">
        <v>0</v>
      </c>
      <c r="J8" s="23">
        <v>0</v>
      </c>
      <c r="K8" s="23">
        <v>0</v>
      </c>
      <c r="L8" s="15">
        <f>H8+I8</f>
        <v>3.4</v>
      </c>
      <c r="M8" s="24">
        <v>4.19</v>
      </c>
      <c r="N8" s="23">
        <v>0</v>
      </c>
      <c r="O8" s="23">
        <v>0</v>
      </c>
      <c r="P8" s="23">
        <v>0</v>
      </c>
      <c r="Q8" s="25">
        <f aca="true" t="shared" si="19" ref="Q8:Q70">+M8+N8</f>
        <v>4.19</v>
      </c>
      <c r="R8" s="24">
        <v>3.62</v>
      </c>
      <c r="S8" s="23">
        <v>0</v>
      </c>
      <c r="T8" s="23">
        <v>0</v>
      </c>
      <c r="U8" s="23">
        <v>0</v>
      </c>
      <c r="V8" s="15">
        <f t="shared" si="9"/>
        <v>3.62</v>
      </c>
      <c r="W8" s="1">
        <v>4.43</v>
      </c>
      <c r="X8" s="23">
        <v>0</v>
      </c>
      <c r="Y8" s="23">
        <v>0</v>
      </c>
      <c r="Z8" s="23">
        <v>0</v>
      </c>
      <c r="AA8" s="15">
        <f t="shared" si="10"/>
        <v>4.43</v>
      </c>
      <c r="AB8" s="1">
        <v>4.82</v>
      </c>
      <c r="AC8" s="26">
        <v>0</v>
      </c>
      <c r="AD8" s="26">
        <v>0</v>
      </c>
      <c r="AE8" s="23">
        <v>0</v>
      </c>
      <c r="AF8" s="15">
        <f t="shared" si="11"/>
        <v>4.82</v>
      </c>
      <c r="AG8" s="26">
        <v>5.29</v>
      </c>
      <c r="AH8" s="26">
        <v>0</v>
      </c>
      <c r="AI8" s="26">
        <v>0</v>
      </c>
      <c r="AJ8" s="23">
        <v>0</v>
      </c>
      <c r="AK8" s="15">
        <f t="shared" si="2"/>
        <v>5.29</v>
      </c>
      <c r="AL8" s="26">
        <f t="shared" si="12"/>
        <v>5.883717214130105</v>
      </c>
      <c r="AM8" s="26">
        <f t="shared" si="12"/>
        <v>0</v>
      </c>
      <c r="AN8" s="26">
        <f>AI8+(AI8*BQ8)</f>
        <v>0</v>
      </c>
      <c r="AO8" s="23">
        <v>0</v>
      </c>
      <c r="AP8" s="15">
        <f t="shared" si="3"/>
        <v>5.883717214130105</v>
      </c>
      <c r="AQ8" s="26">
        <f t="shared" si="13"/>
        <v>6.544069613582404</v>
      </c>
      <c r="AR8" s="26">
        <f t="shared" si="13"/>
        <v>0</v>
      </c>
      <c r="AS8" s="26">
        <f>AN8+(AN8*BQ8)</f>
        <v>0</v>
      </c>
      <c r="AT8" s="23">
        <v>0</v>
      </c>
      <c r="AU8" s="15">
        <f t="shared" si="4"/>
        <v>6.544069613582404</v>
      </c>
      <c r="AV8" s="26">
        <f t="shared" si="14"/>
        <v>7.278535923610686</v>
      </c>
      <c r="AW8" s="26">
        <f t="shared" si="14"/>
        <v>0</v>
      </c>
      <c r="AX8" s="26">
        <f>AS8+(AS8*BQ8)</f>
        <v>0</v>
      </c>
      <c r="AY8" s="26"/>
      <c r="AZ8" s="15">
        <f t="shared" si="15"/>
        <v>7.278535923610686</v>
      </c>
      <c r="BA8" s="26">
        <f t="shared" si="16"/>
        <v>8.095434235805776</v>
      </c>
      <c r="BB8" s="26">
        <f t="shared" si="16"/>
        <v>0</v>
      </c>
      <c r="BC8" s="26">
        <f>AX8+(AX8*BQ8)</f>
        <v>0</v>
      </c>
      <c r="BD8" s="23">
        <v>0</v>
      </c>
      <c r="BE8" s="15">
        <f t="shared" si="6"/>
        <v>8.095434235805776</v>
      </c>
      <c r="BF8" s="26">
        <f t="shared" si="17"/>
        <v>9.004016213434523</v>
      </c>
      <c r="BG8" s="26">
        <f t="shared" si="17"/>
        <v>0</v>
      </c>
      <c r="BH8" s="26">
        <f>BC8+(BC8*BQ8)</f>
        <v>0</v>
      </c>
      <c r="BI8" s="23">
        <v>0</v>
      </c>
      <c r="BJ8" s="15">
        <f t="shared" si="7"/>
        <v>9.004016213434523</v>
      </c>
      <c r="BK8" s="26">
        <f t="shared" si="18"/>
        <v>10.014571869809313</v>
      </c>
      <c r="BL8" s="26">
        <f t="shared" si="18"/>
        <v>0</v>
      </c>
      <c r="BM8" s="26">
        <f>BH8+(BH8*BQ8)</f>
        <v>0</v>
      </c>
      <c r="BN8" s="26">
        <f>BI8+(BI8*BU8)</f>
        <v>0</v>
      </c>
      <c r="BO8" s="15">
        <f t="shared" si="8"/>
        <v>10.014571869809313</v>
      </c>
      <c r="BP8" s="20">
        <v>0.1122338779073921</v>
      </c>
      <c r="BQ8" s="18"/>
    </row>
    <row r="9" spans="1:69" s="1" customFormat="1" ht="15">
      <c r="A9" s="21">
        <v>2013</v>
      </c>
      <c r="B9" s="22" t="s">
        <v>150</v>
      </c>
      <c r="C9" s="1">
        <v>5.05</v>
      </c>
      <c r="D9" s="23">
        <v>0</v>
      </c>
      <c r="E9" s="23">
        <v>0</v>
      </c>
      <c r="F9" s="23">
        <v>0</v>
      </c>
      <c r="G9" s="15">
        <f>C9+D9</f>
        <v>5.05</v>
      </c>
      <c r="H9" s="1">
        <v>6.99</v>
      </c>
      <c r="I9" s="23">
        <v>0</v>
      </c>
      <c r="J9" s="23">
        <v>0</v>
      </c>
      <c r="K9" s="23">
        <v>0</v>
      </c>
      <c r="L9" s="15">
        <f>H9+I9</f>
        <v>6.99</v>
      </c>
      <c r="M9" s="24">
        <v>9.28</v>
      </c>
      <c r="N9" s="23">
        <v>0</v>
      </c>
      <c r="O9" s="23">
        <v>0</v>
      </c>
      <c r="P9" s="23">
        <v>0</v>
      </c>
      <c r="Q9" s="25">
        <f t="shared" si="19"/>
        <v>9.28</v>
      </c>
      <c r="R9" s="24">
        <v>6.85</v>
      </c>
      <c r="S9" s="23">
        <v>0</v>
      </c>
      <c r="T9" s="23">
        <v>0</v>
      </c>
      <c r="U9" s="23">
        <v>0</v>
      </c>
      <c r="V9" s="15">
        <f t="shared" si="9"/>
        <v>6.85</v>
      </c>
      <c r="W9" s="1">
        <v>8.25</v>
      </c>
      <c r="X9" s="23">
        <v>0</v>
      </c>
      <c r="Y9" s="23">
        <v>0</v>
      </c>
      <c r="Z9" s="23">
        <v>0</v>
      </c>
      <c r="AA9" s="15">
        <f t="shared" si="10"/>
        <v>8.25</v>
      </c>
      <c r="AB9" s="1">
        <v>8.81</v>
      </c>
      <c r="AC9" s="26">
        <v>0</v>
      </c>
      <c r="AD9" s="26">
        <v>0</v>
      </c>
      <c r="AE9" s="23">
        <v>0</v>
      </c>
      <c r="AF9" s="15">
        <f t="shared" si="11"/>
        <v>8.81</v>
      </c>
      <c r="AG9" s="26">
        <v>11.01</v>
      </c>
      <c r="AH9" s="26">
        <v>0</v>
      </c>
      <c r="AI9" s="26">
        <v>0</v>
      </c>
      <c r="AJ9" s="23">
        <v>0</v>
      </c>
      <c r="AK9" s="15">
        <f t="shared" si="2"/>
        <v>11.01</v>
      </c>
      <c r="AL9" s="26">
        <f t="shared" si="12"/>
        <v>12.11737184912077</v>
      </c>
      <c r="AM9" s="26">
        <f t="shared" si="12"/>
        <v>0</v>
      </c>
      <c r="AN9" s="26">
        <f>AI9+(AI9*BQ9)</f>
        <v>0</v>
      </c>
      <c r="AO9" s="23">
        <v>0</v>
      </c>
      <c r="AP9" s="15">
        <f t="shared" si="3"/>
        <v>12.11737184912077</v>
      </c>
      <c r="AQ9" s="26">
        <f t="shared" si="13"/>
        <v>13.336121755664353</v>
      </c>
      <c r="AR9" s="26">
        <f t="shared" si="13"/>
        <v>0</v>
      </c>
      <c r="AS9" s="26">
        <f>AN9+(AN9*BQ9)</f>
        <v>0</v>
      </c>
      <c r="AT9" s="23">
        <v>0</v>
      </c>
      <c r="AU9" s="15">
        <f t="shared" si="4"/>
        <v>13.336121755664353</v>
      </c>
      <c r="AV9" s="26">
        <f t="shared" si="14"/>
        <v>14.677451983518102</v>
      </c>
      <c r="AW9" s="26">
        <f t="shared" si="14"/>
        <v>0</v>
      </c>
      <c r="AX9" s="26">
        <f>AS9+(AS9*BQ9)</f>
        <v>0</v>
      </c>
      <c r="AY9" s="26"/>
      <c r="AZ9" s="15">
        <f t="shared" si="15"/>
        <v>14.677451983518102</v>
      </c>
      <c r="BA9" s="26">
        <f t="shared" si="16"/>
        <v>16.153691506076665</v>
      </c>
      <c r="BB9" s="26">
        <f t="shared" si="16"/>
        <v>0</v>
      </c>
      <c r="BC9" s="26">
        <f>AX9+(AX9*BQ9)</f>
        <v>0</v>
      </c>
      <c r="BD9" s="23">
        <v>0</v>
      </c>
      <c r="BE9" s="15">
        <f t="shared" si="6"/>
        <v>16.153691506076665</v>
      </c>
      <c r="BF9" s="26">
        <f t="shared" si="17"/>
        <v>17.778409329256558</v>
      </c>
      <c r="BG9" s="26">
        <f t="shared" si="17"/>
        <v>0</v>
      </c>
      <c r="BH9" s="26">
        <f>BC9+(BC9*BQ9)</f>
        <v>0</v>
      </c>
      <c r="BI9" s="23">
        <v>0</v>
      </c>
      <c r="BJ9" s="15">
        <f t="shared" si="7"/>
        <v>17.778409329256558</v>
      </c>
      <c r="BK9" s="26">
        <f t="shared" si="18"/>
        <v>19.56653921239596</v>
      </c>
      <c r="BL9" s="26">
        <f t="shared" si="18"/>
        <v>0</v>
      </c>
      <c r="BM9" s="26">
        <f>BH9+(BH9*BQ9)</f>
        <v>0</v>
      </c>
      <c r="BN9" s="26">
        <f>BI9+(BI9*BU9)</f>
        <v>0</v>
      </c>
      <c r="BO9" s="15">
        <f t="shared" si="8"/>
        <v>19.56653921239596</v>
      </c>
      <c r="BP9" s="20">
        <v>0.10057873289016996</v>
      </c>
      <c r="BQ9" s="18"/>
    </row>
    <row r="10" spans="1:69" s="1" customFormat="1" ht="15">
      <c r="A10" s="21">
        <v>2014</v>
      </c>
      <c r="B10" s="22" t="s">
        <v>151</v>
      </c>
      <c r="C10" s="1">
        <v>7.89</v>
      </c>
      <c r="D10" s="23">
        <v>0</v>
      </c>
      <c r="E10" s="23">
        <v>0</v>
      </c>
      <c r="F10" s="23">
        <v>0</v>
      </c>
      <c r="G10" s="15">
        <f>C10+D10</f>
        <v>7.89</v>
      </c>
      <c r="H10" s="1">
        <f>3.81+4.68</f>
        <v>8.49</v>
      </c>
      <c r="I10" s="23">
        <v>0</v>
      </c>
      <c r="J10" s="23">
        <v>0</v>
      </c>
      <c r="K10" s="23">
        <v>0</v>
      </c>
      <c r="L10" s="15">
        <f>H10+I10</f>
        <v>8.49</v>
      </c>
      <c r="M10" s="24">
        <f>7.65+8.04</f>
        <v>15.69</v>
      </c>
      <c r="N10" s="23">
        <v>0</v>
      </c>
      <c r="O10" s="23">
        <v>0</v>
      </c>
      <c r="P10" s="23">
        <v>0</v>
      </c>
      <c r="Q10" s="25">
        <f t="shared" si="19"/>
        <v>15.69</v>
      </c>
      <c r="R10" s="24">
        <v>15.2</v>
      </c>
      <c r="S10" s="23">
        <v>0</v>
      </c>
      <c r="T10" s="23">
        <v>0</v>
      </c>
      <c r="U10" s="23">
        <v>0</v>
      </c>
      <c r="V10" s="15">
        <f t="shared" si="9"/>
        <v>15.2</v>
      </c>
      <c r="W10" s="1">
        <v>16.13</v>
      </c>
      <c r="X10" s="23">
        <v>0</v>
      </c>
      <c r="Y10" s="23">
        <v>0</v>
      </c>
      <c r="Z10" s="23">
        <v>0</v>
      </c>
      <c r="AA10" s="15">
        <f t="shared" si="10"/>
        <v>16.13</v>
      </c>
      <c r="AB10" s="1">
        <v>23.91</v>
      </c>
      <c r="AC10" s="26">
        <v>0</v>
      </c>
      <c r="AD10" s="26">
        <v>0</v>
      </c>
      <c r="AE10" s="23">
        <v>0</v>
      </c>
      <c r="AF10" s="15">
        <f t="shared" si="11"/>
        <v>23.91</v>
      </c>
      <c r="AG10" s="26">
        <v>27.08</v>
      </c>
      <c r="AH10" s="26">
        <v>0</v>
      </c>
      <c r="AI10" s="26">
        <v>0</v>
      </c>
      <c r="AJ10" s="23">
        <v>0</v>
      </c>
      <c r="AK10" s="15">
        <f t="shared" si="2"/>
        <v>27.08</v>
      </c>
      <c r="AL10" s="26">
        <f t="shared" si="12"/>
        <v>33.31039152652135</v>
      </c>
      <c r="AM10" s="26">
        <f t="shared" si="12"/>
        <v>0</v>
      </c>
      <c r="AN10" s="26">
        <f>AI10+(AI10*BQ10)</f>
        <v>0</v>
      </c>
      <c r="AO10" s="23">
        <v>0</v>
      </c>
      <c r="AP10" s="15">
        <f t="shared" si="3"/>
        <v>33.31039152652135</v>
      </c>
      <c r="AQ10" s="26">
        <f t="shared" si="13"/>
        <v>40.97423130170404</v>
      </c>
      <c r="AR10" s="26">
        <f t="shared" si="13"/>
        <v>0</v>
      </c>
      <c r="AS10" s="26">
        <f>AN10+(AN10*BQ10)</f>
        <v>0</v>
      </c>
      <c r="AT10" s="23">
        <v>0</v>
      </c>
      <c r="AU10" s="15">
        <f t="shared" si="4"/>
        <v>40.97423130170404</v>
      </c>
      <c r="AV10" s="26">
        <f t="shared" si="14"/>
        <v>50.40131784187622</v>
      </c>
      <c r="AW10" s="26">
        <f t="shared" si="14"/>
        <v>0</v>
      </c>
      <c r="AX10" s="26">
        <f>AS10+(AS10*BQ10)</f>
        <v>0</v>
      </c>
      <c r="AY10" s="26"/>
      <c r="AZ10" s="15">
        <f t="shared" si="15"/>
        <v>50.40131784187622</v>
      </c>
      <c r="BA10" s="26">
        <f t="shared" si="16"/>
        <v>61.997327576275595</v>
      </c>
      <c r="BB10" s="26">
        <f t="shared" si="16"/>
        <v>0</v>
      </c>
      <c r="BC10" s="26">
        <f>AX10+(AX10*BQ10)</f>
        <v>0</v>
      </c>
      <c r="BD10" s="23">
        <v>0</v>
      </c>
      <c r="BE10" s="15">
        <f t="shared" si="6"/>
        <v>61.997327576275595</v>
      </c>
      <c r="BF10" s="26">
        <f t="shared" si="17"/>
        <v>76.26127234725772</v>
      </c>
      <c r="BG10" s="26">
        <f t="shared" si="17"/>
        <v>0</v>
      </c>
      <c r="BH10" s="26">
        <f>BC10+(BC10*BQ10)</f>
        <v>0</v>
      </c>
      <c r="BI10" s="23">
        <v>0</v>
      </c>
      <c r="BJ10" s="15">
        <f t="shared" si="7"/>
        <v>76.26127234725772</v>
      </c>
      <c r="BK10" s="26">
        <f t="shared" si="18"/>
        <v>93.80697341941767</v>
      </c>
      <c r="BL10" s="26">
        <f t="shared" si="18"/>
        <v>0</v>
      </c>
      <c r="BM10" s="26">
        <f>BH10+(BH10*BQ10)</f>
        <v>0</v>
      </c>
      <c r="BN10" s="26">
        <f>BI10+(BI10*BU10)</f>
        <v>0</v>
      </c>
      <c r="BO10" s="15">
        <f t="shared" si="8"/>
        <v>93.80697341941767</v>
      </c>
      <c r="BP10" s="20">
        <v>0.23007354233830696</v>
      </c>
      <c r="BQ10" s="18"/>
    </row>
    <row r="11" spans="1:70" s="1" customFormat="1" ht="15">
      <c r="A11" s="21">
        <v>2015</v>
      </c>
      <c r="B11" s="22" t="s">
        <v>226</v>
      </c>
      <c r="C11" s="1">
        <v>4.97</v>
      </c>
      <c r="D11" s="23">
        <v>0</v>
      </c>
      <c r="E11" s="23">
        <v>0</v>
      </c>
      <c r="F11" s="23">
        <v>0</v>
      </c>
      <c r="G11" s="15">
        <f>C11+D11</f>
        <v>4.97</v>
      </c>
      <c r="H11" s="1">
        <v>3.5</v>
      </c>
      <c r="I11" s="23">
        <v>0</v>
      </c>
      <c r="J11" s="23">
        <v>0</v>
      </c>
      <c r="K11" s="23">
        <v>0</v>
      </c>
      <c r="L11" s="15">
        <f>H11+I11</f>
        <v>3.5</v>
      </c>
      <c r="M11" s="24">
        <v>8.91</v>
      </c>
      <c r="N11" s="23">
        <v>0</v>
      </c>
      <c r="O11" s="23">
        <v>0</v>
      </c>
      <c r="P11" s="23">
        <v>0</v>
      </c>
      <c r="Q11" s="25">
        <f t="shared" si="19"/>
        <v>8.91</v>
      </c>
      <c r="R11" s="24">
        <v>4.11</v>
      </c>
      <c r="S11" s="23">
        <v>0</v>
      </c>
      <c r="T11" s="23">
        <v>0</v>
      </c>
      <c r="U11" s="23">
        <v>0</v>
      </c>
      <c r="V11" s="15">
        <f t="shared" si="9"/>
        <v>4.11</v>
      </c>
      <c r="W11" s="1">
        <v>4.41</v>
      </c>
      <c r="X11" s="23">
        <v>0</v>
      </c>
      <c r="Y11" s="23">
        <v>0</v>
      </c>
      <c r="Z11" s="23">
        <v>0</v>
      </c>
      <c r="AA11" s="15">
        <f t="shared" si="10"/>
        <v>4.41</v>
      </c>
      <c r="AB11" s="1">
        <v>5.14</v>
      </c>
      <c r="AC11" s="26">
        <v>0</v>
      </c>
      <c r="AD11" s="26"/>
      <c r="AE11" s="23">
        <v>0</v>
      </c>
      <c r="AF11" s="15">
        <f t="shared" si="11"/>
        <v>5.14</v>
      </c>
      <c r="AG11" s="26">
        <v>7.17</v>
      </c>
      <c r="AH11" s="26">
        <v>0</v>
      </c>
      <c r="AI11" s="26">
        <v>0</v>
      </c>
      <c r="AJ11" s="23">
        <v>0</v>
      </c>
      <c r="AK11" s="15">
        <f t="shared" si="2"/>
        <v>7.17</v>
      </c>
      <c r="AL11" s="26">
        <f>7.474725+8</f>
        <v>15.474725</v>
      </c>
      <c r="AM11" s="26">
        <f>AH11+(AH11*BQ11)</f>
        <v>0</v>
      </c>
      <c r="AN11" s="26">
        <f>AI11+(AI11*BQ11)</f>
        <v>0</v>
      </c>
      <c r="AO11" s="23">
        <v>0</v>
      </c>
      <c r="AP11" s="15">
        <f t="shared" si="3"/>
        <v>15.474725</v>
      </c>
      <c r="AQ11" s="26">
        <f>7.7924008125+8</f>
        <v>15.7924008125</v>
      </c>
      <c r="AR11" s="26">
        <f>AM11+(AM11*BQ11)</f>
        <v>0</v>
      </c>
      <c r="AS11" s="26">
        <f>AN11+(AN11*BQ11)</f>
        <v>0</v>
      </c>
      <c r="AT11" s="23">
        <v>0</v>
      </c>
      <c r="AU11" s="15">
        <f t="shared" si="4"/>
        <v>15.7924008125</v>
      </c>
      <c r="AV11" s="26">
        <v>8.12357784703125</v>
      </c>
      <c r="AW11" s="26">
        <f>AR11+(AR11*BQ11)</f>
        <v>0</v>
      </c>
      <c r="AX11" s="26">
        <f>AS11+(AS11*BQ11)</f>
        <v>0</v>
      </c>
      <c r="AY11" s="26"/>
      <c r="AZ11" s="15">
        <f t="shared" si="15"/>
        <v>8.12357784703125</v>
      </c>
      <c r="BA11" s="26">
        <f>8.46882990553008+20</f>
        <v>28.46882990553008</v>
      </c>
      <c r="BB11" s="26">
        <f>AW11+(AW11*BQ11)</f>
        <v>0</v>
      </c>
      <c r="BC11" s="26">
        <f>AX11+(AX11*BQ11)</f>
        <v>0</v>
      </c>
      <c r="BD11" s="23">
        <v>0</v>
      </c>
      <c r="BE11" s="15">
        <f t="shared" si="6"/>
        <v>28.46882990553008</v>
      </c>
      <c r="BF11" s="26">
        <v>8.828755176515106</v>
      </c>
      <c r="BG11" s="26">
        <f>BB11+(BB11*BQ11)</f>
        <v>0</v>
      </c>
      <c r="BH11" s="26">
        <f>BC11+(BC11*BQ11)</f>
        <v>0</v>
      </c>
      <c r="BI11" s="23">
        <v>0</v>
      </c>
      <c r="BJ11" s="15">
        <f t="shared" si="7"/>
        <v>8.828755176515106</v>
      </c>
      <c r="BK11" s="26">
        <f>9.203977271517+20</f>
        <v>29.203977271516997</v>
      </c>
      <c r="BL11" s="26">
        <f>BG11+(BG11*BQ11)</f>
        <v>0</v>
      </c>
      <c r="BM11" s="26">
        <f>BH11+(BH11*BQ11)</f>
        <v>0</v>
      </c>
      <c r="BN11" s="26">
        <f>BI11+(BI11*BU11)</f>
        <v>0</v>
      </c>
      <c r="BO11" s="15">
        <f t="shared" si="8"/>
        <v>29.203977271516997</v>
      </c>
      <c r="BP11" s="20">
        <v>0.042475100262512056</v>
      </c>
      <c r="BQ11" s="18"/>
      <c r="BR11" s="1" t="s">
        <v>227</v>
      </c>
    </row>
    <row r="12" spans="1:69" s="19" customFormat="1" ht="15">
      <c r="A12" s="13" t="s">
        <v>23</v>
      </c>
      <c r="B12" s="14" t="s">
        <v>24</v>
      </c>
      <c r="C12" s="15">
        <f aca="true" t="shared" si="20" ref="C12:U12">SUM(C13:C21)</f>
        <v>25.11</v>
      </c>
      <c r="D12" s="15">
        <f t="shared" si="20"/>
        <v>0.18</v>
      </c>
      <c r="E12" s="15">
        <f t="shared" si="20"/>
        <v>0</v>
      </c>
      <c r="F12" s="15">
        <f t="shared" si="20"/>
        <v>0</v>
      </c>
      <c r="G12" s="15">
        <f t="shared" si="20"/>
        <v>25.29</v>
      </c>
      <c r="H12" s="15">
        <f t="shared" si="20"/>
        <v>24.449999999999996</v>
      </c>
      <c r="I12" s="15">
        <f t="shared" si="20"/>
        <v>0.11</v>
      </c>
      <c r="J12" s="15">
        <f t="shared" si="20"/>
        <v>0</v>
      </c>
      <c r="K12" s="15">
        <f t="shared" si="20"/>
        <v>0</v>
      </c>
      <c r="L12" s="15">
        <f t="shared" si="20"/>
        <v>24.56</v>
      </c>
      <c r="M12" s="15">
        <f t="shared" si="20"/>
        <v>30.84</v>
      </c>
      <c r="N12" s="15">
        <f t="shared" si="20"/>
        <v>0.12</v>
      </c>
      <c r="O12" s="15">
        <f t="shared" si="20"/>
        <v>0</v>
      </c>
      <c r="P12" s="15">
        <f t="shared" si="20"/>
        <v>0</v>
      </c>
      <c r="Q12" s="15">
        <f t="shared" si="20"/>
        <v>30.96</v>
      </c>
      <c r="R12" s="15">
        <f t="shared" si="20"/>
        <v>33.08</v>
      </c>
      <c r="S12" s="15">
        <f t="shared" si="20"/>
        <v>0.05</v>
      </c>
      <c r="T12" s="15">
        <f t="shared" si="20"/>
        <v>0</v>
      </c>
      <c r="U12" s="15">
        <f t="shared" si="20"/>
        <v>0</v>
      </c>
      <c r="V12" s="15">
        <f t="shared" si="9"/>
        <v>33.129999999999995</v>
      </c>
      <c r="W12" s="15">
        <f>SUM(W13:W21)</f>
        <v>38.74</v>
      </c>
      <c r="X12" s="15">
        <f>SUM(X13:X21)</f>
        <v>4.2700000000000005</v>
      </c>
      <c r="Y12" s="15">
        <f>SUM(Y13:Y21)</f>
        <v>2.43</v>
      </c>
      <c r="Z12" s="15">
        <f>SUM(Z13:Z21)</f>
        <v>0</v>
      </c>
      <c r="AA12" s="15">
        <f t="shared" si="10"/>
        <v>43.010000000000005</v>
      </c>
      <c r="AB12" s="15">
        <f>SUM(AB13:AB21)</f>
        <v>56.67999999999999</v>
      </c>
      <c r="AC12" s="15">
        <f>SUM(AC13:AC21)</f>
        <v>2.3299999999999996</v>
      </c>
      <c r="AD12" s="15">
        <f>SUM(AD13:AD21)</f>
        <v>2.3</v>
      </c>
      <c r="AE12" s="15">
        <f>SUM(AE13:AE21)</f>
        <v>0</v>
      </c>
      <c r="AF12" s="15">
        <f t="shared" si="11"/>
        <v>59.00999999999999</v>
      </c>
      <c r="AG12" s="15">
        <f>SUM(AG13:AG21)</f>
        <v>73.32</v>
      </c>
      <c r="AH12" s="15">
        <f>SUM(AH13:AH21)</f>
        <v>4.03</v>
      </c>
      <c r="AI12" s="15">
        <f>SUM(AI13:AI21)</f>
        <v>4.03</v>
      </c>
      <c r="AJ12" s="15">
        <f>SUM(AJ13:AJ21)</f>
        <v>0</v>
      </c>
      <c r="AK12" s="15">
        <f t="shared" si="2"/>
        <v>77.35</v>
      </c>
      <c r="AL12" s="15">
        <f>SUM(AL13:AL21)</f>
        <v>84.12982348347128</v>
      </c>
      <c r="AM12" s="15">
        <f>SUM(AM13:AM21)</f>
        <v>4.4833750000000006</v>
      </c>
      <c r="AN12" s="15">
        <f>SUM(AN13:AN21)</f>
        <v>4.4833750000000006</v>
      </c>
      <c r="AO12" s="15">
        <f>SUM(AO13:AO21)</f>
        <v>0</v>
      </c>
      <c r="AP12" s="15">
        <f t="shared" si="3"/>
        <v>88.61319848347128</v>
      </c>
      <c r="AQ12" s="15">
        <f>SUM(AQ13:AQ21)</f>
        <v>96.74319821286986</v>
      </c>
      <c r="AR12" s="15">
        <f>SUM(AR13:AR21)</f>
        <v>4.987754687500001</v>
      </c>
      <c r="AS12" s="15">
        <f>SUM(AS13:AS21)</f>
        <v>4.987754687500001</v>
      </c>
      <c r="AT12" s="15">
        <f>SUM(AT13:AT21)</f>
        <v>0</v>
      </c>
      <c r="AU12" s="15">
        <f t="shared" si="4"/>
        <v>101.73095290036986</v>
      </c>
      <c r="AV12" s="15">
        <f>SUM(AV13:AV21)</f>
        <v>111.50102711249261</v>
      </c>
      <c r="AW12" s="15">
        <f>SUM(AW13:AW21)</f>
        <v>5.548877089843751</v>
      </c>
      <c r="AX12" s="15">
        <f>SUM(AX13:AX21)</f>
        <v>5.548877089843751</v>
      </c>
      <c r="AY12" s="15">
        <f>SUM(AY13:AY21)</f>
        <v>0</v>
      </c>
      <c r="AZ12" s="15">
        <f t="shared" si="15"/>
        <v>117.04990420233636</v>
      </c>
      <c r="BA12" s="15">
        <f>SUM(BA13:BA21)</f>
        <v>128.81557583719493</v>
      </c>
      <c r="BB12" s="15">
        <f>SUM(BB13:BB21)</f>
        <v>6.173125762451173</v>
      </c>
      <c r="BC12" s="15">
        <f>SUM(BC13:BC21)</f>
        <v>6.173125762451173</v>
      </c>
      <c r="BD12" s="15">
        <f>SUM(BD13:BD21)</f>
        <v>0</v>
      </c>
      <c r="BE12" s="15">
        <f t="shared" si="6"/>
        <v>134.9887015996461</v>
      </c>
      <c r="BF12" s="15">
        <f>SUM(BF13:BF21)</f>
        <v>149.18650291322638</v>
      </c>
      <c r="BG12" s="15">
        <f>SUM(BG13:BG21)</f>
        <v>6.86760241072693</v>
      </c>
      <c r="BH12" s="15">
        <f>SUM(BH13:BH21)</f>
        <v>6.86760241072693</v>
      </c>
      <c r="BI12" s="15">
        <f>SUM(BI13:BI21)</f>
        <v>0</v>
      </c>
      <c r="BJ12" s="15">
        <f t="shared" si="7"/>
        <v>156.0541053239533</v>
      </c>
      <c r="BK12" s="15">
        <f>SUM(BK13:BK21)</f>
        <v>173.2206515138355</v>
      </c>
      <c r="BL12" s="15">
        <f>SUM(BL13:BL21)</f>
        <v>7.640207681933709</v>
      </c>
      <c r="BM12" s="15">
        <f>SUM(BM13:BM21)</f>
        <v>7.640207681933709</v>
      </c>
      <c r="BN12" s="15">
        <f>SUM(BN13:BN21)</f>
        <v>0</v>
      </c>
      <c r="BO12" s="15">
        <f t="shared" si="8"/>
        <v>180.8608591957692</v>
      </c>
      <c r="BP12" s="17">
        <v>0.15817011768368958</v>
      </c>
      <c r="BQ12" s="18"/>
    </row>
    <row r="13" spans="1:69" s="19" customFormat="1" ht="30">
      <c r="A13" s="21">
        <v>2020</v>
      </c>
      <c r="B13" s="2" t="s">
        <v>153</v>
      </c>
      <c r="C13" s="27">
        <v>0.6</v>
      </c>
      <c r="D13" s="28">
        <v>0</v>
      </c>
      <c r="E13" s="28">
        <v>0</v>
      </c>
      <c r="F13" s="28">
        <v>0</v>
      </c>
      <c r="G13" s="29">
        <f aca="true" t="shared" si="21" ref="G13:G21">C13+D13</f>
        <v>0.6</v>
      </c>
      <c r="H13" s="1">
        <v>0.7</v>
      </c>
      <c r="I13" s="1"/>
      <c r="J13" s="1"/>
      <c r="K13" s="28">
        <v>0</v>
      </c>
      <c r="L13" s="15">
        <f aca="true" t="shared" si="22" ref="L13:L29">H13+I13</f>
        <v>0.7</v>
      </c>
      <c r="M13" s="26">
        <v>1.48</v>
      </c>
      <c r="N13" s="26">
        <v>0</v>
      </c>
      <c r="O13" s="26">
        <v>0</v>
      </c>
      <c r="P13" s="28">
        <v>0</v>
      </c>
      <c r="Q13" s="25">
        <f t="shared" si="19"/>
        <v>1.48</v>
      </c>
      <c r="R13" s="26">
        <v>1.26</v>
      </c>
      <c r="S13" s="26">
        <v>0</v>
      </c>
      <c r="T13" s="26">
        <v>0</v>
      </c>
      <c r="U13" s="28">
        <v>0</v>
      </c>
      <c r="V13" s="15">
        <f t="shared" si="9"/>
        <v>1.26</v>
      </c>
      <c r="W13" s="1">
        <v>1.38</v>
      </c>
      <c r="X13" s="26">
        <v>0</v>
      </c>
      <c r="Y13" s="26">
        <v>0</v>
      </c>
      <c r="Z13" s="28">
        <v>0</v>
      </c>
      <c r="AA13" s="15">
        <f t="shared" si="10"/>
        <v>1.38</v>
      </c>
      <c r="AB13" s="1">
        <v>1.61</v>
      </c>
      <c r="AC13" s="23">
        <v>0</v>
      </c>
      <c r="AD13" s="23">
        <v>0</v>
      </c>
      <c r="AE13" s="28">
        <v>0</v>
      </c>
      <c r="AF13" s="15">
        <f t="shared" si="11"/>
        <v>1.61</v>
      </c>
      <c r="AG13" s="1">
        <v>1.13</v>
      </c>
      <c r="AH13" s="23">
        <v>0</v>
      </c>
      <c r="AI13" s="23">
        <v>0</v>
      </c>
      <c r="AJ13" s="28">
        <v>0</v>
      </c>
      <c r="AK13" s="15">
        <f t="shared" si="2"/>
        <v>1.13</v>
      </c>
      <c r="AL13" s="26">
        <f aca="true" t="shared" si="23" ref="AL13:AM21">AG13+(AG13*BP13)</f>
        <v>1.280228635774036</v>
      </c>
      <c r="AM13" s="26">
        <f t="shared" si="23"/>
        <v>0</v>
      </c>
      <c r="AN13" s="26">
        <f aca="true" t="shared" si="24" ref="AN13:AN21">AI13+(AI13*BQ13)</f>
        <v>0</v>
      </c>
      <c r="AO13" s="28">
        <v>0</v>
      </c>
      <c r="AP13" s="15">
        <f t="shared" si="3"/>
        <v>1.280228635774036</v>
      </c>
      <c r="AQ13" s="26">
        <f aca="true" t="shared" si="25" ref="AQ13:AR21">AL13+(AL13*BP13)</f>
        <v>1.450429521996327</v>
      </c>
      <c r="AR13" s="26">
        <f t="shared" si="25"/>
        <v>0</v>
      </c>
      <c r="AS13" s="26">
        <f aca="true" t="shared" si="26" ref="AS13:AS21">AN13+(AN13*BQ13)</f>
        <v>0</v>
      </c>
      <c r="AT13" s="28">
        <v>0</v>
      </c>
      <c r="AU13" s="15">
        <f t="shared" si="4"/>
        <v>1.450429521996327</v>
      </c>
      <c r="AV13" s="26">
        <f aca="true" t="shared" si="27" ref="AV13:AW21">AQ13+(AQ13*BP13)</f>
        <v>1.6432578833909248</v>
      </c>
      <c r="AW13" s="26">
        <f t="shared" si="27"/>
        <v>0</v>
      </c>
      <c r="AX13" s="26">
        <f aca="true" t="shared" si="28" ref="AX13:AX21">AS13+(AS13*BQ13)</f>
        <v>0</v>
      </c>
      <c r="AY13" s="26"/>
      <c r="AZ13" s="15">
        <f t="shared" si="15"/>
        <v>1.6432578833909248</v>
      </c>
      <c r="BA13" s="26">
        <f aca="true" t="shared" si="29" ref="BA13:BB21">AV13+(AV13*BP13)</f>
        <v>1.861721945379198</v>
      </c>
      <c r="BB13" s="26">
        <f t="shared" si="29"/>
        <v>0</v>
      </c>
      <c r="BC13" s="26">
        <f aca="true" t="shared" si="30" ref="BC13:BC21">AX13+(AX13*BQ13)</f>
        <v>0</v>
      </c>
      <c r="BD13" s="28">
        <v>0</v>
      </c>
      <c r="BE13" s="15">
        <f t="shared" si="6"/>
        <v>1.861721945379198</v>
      </c>
      <c r="BF13" s="26">
        <f aca="true" t="shared" si="31" ref="BF13:BG21">BA13+(BA13*BP13)</f>
        <v>2.1092298640030047</v>
      </c>
      <c r="BG13" s="26">
        <f t="shared" si="31"/>
        <v>0</v>
      </c>
      <c r="BH13" s="26">
        <f aca="true" t="shared" si="32" ref="BH13:BH21">BC13+(BC13*BQ13)</f>
        <v>0</v>
      </c>
      <c r="BI13" s="28">
        <v>0</v>
      </c>
      <c r="BJ13" s="15">
        <f t="shared" si="7"/>
        <v>2.1092298640030047</v>
      </c>
      <c r="BK13" s="26">
        <f aca="true" t="shared" si="33" ref="BK13:BL21">BF13+(BF13*BP13)</f>
        <v>2.389642894979135</v>
      </c>
      <c r="BL13" s="26">
        <f t="shared" si="33"/>
        <v>0</v>
      </c>
      <c r="BM13" s="26">
        <f aca="true" t="shared" si="34" ref="BM13:BM21">BH13+(BH13*BQ13)</f>
        <v>0</v>
      </c>
      <c r="BN13" s="26">
        <f aca="true" t="shared" si="35" ref="BN13:BN21">BI13+(BI13*BU13)</f>
        <v>0</v>
      </c>
      <c r="BO13" s="15">
        <f t="shared" si="8"/>
        <v>2.389642894979135</v>
      </c>
      <c r="BP13" s="20">
        <v>0.1329456953752532</v>
      </c>
      <c r="BQ13" s="18"/>
    </row>
    <row r="14" spans="1:69" s="19" customFormat="1" ht="15">
      <c r="A14" s="21">
        <v>2029</v>
      </c>
      <c r="B14" s="2" t="s">
        <v>154</v>
      </c>
      <c r="C14" s="1">
        <v>3.67</v>
      </c>
      <c r="D14" s="1">
        <v>0.18</v>
      </c>
      <c r="E14" s="26">
        <v>0</v>
      </c>
      <c r="F14" s="26">
        <v>0</v>
      </c>
      <c r="G14" s="15">
        <f t="shared" si="21"/>
        <v>3.85</v>
      </c>
      <c r="H14" s="1">
        <v>4.33</v>
      </c>
      <c r="I14" s="1">
        <v>0.11</v>
      </c>
      <c r="J14" s="23">
        <v>0</v>
      </c>
      <c r="K14" s="26">
        <v>0</v>
      </c>
      <c r="L14" s="15">
        <f t="shared" si="22"/>
        <v>4.44</v>
      </c>
      <c r="M14" s="26">
        <v>8.23</v>
      </c>
      <c r="N14" s="26">
        <v>0.12</v>
      </c>
      <c r="O14" s="26">
        <v>0</v>
      </c>
      <c r="P14" s="26">
        <v>0</v>
      </c>
      <c r="Q14" s="25">
        <f t="shared" si="19"/>
        <v>8.35</v>
      </c>
      <c r="R14" s="26">
        <v>7.5</v>
      </c>
      <c r="S14" s="26">
        <v>0.05</v>
      </c>
      <c r="T14" s="26">
        <v>0</v>
      </c>
      <c r="U14" s="26">
        <v>0</v>
      </c>
      <c r="V14" s="15">
        <f t="shared" si="9"/>
        <v>7.55</v>
      </c>
      <c r="W14" s="1">
        <v>10.1</v>
      </c>
      <c r="X14" s="1">
        <v>0.04</v>
      </c>
      <c r="Y14" s="26">
        <v>0</v>
      </c>
      <c r="Z14" s="26">
        <v>0</v>
      </c>
      <c r="AA14" s="15">
        <f t="shared" si="10"/>
        <v>10.139999999999999</v>
      </c>
      <c r="AB14" s="1">
        <v>12.51</v>
      </c>
      <c r="AC14" s="23">
        <v>0.03</v>
      </c>
      <c r="AD14" s="23">
        <v>0</v>
      </c>
      <c r="AE14" s="26">
        <v>0</v>
      </c>
      <c r="AF14" s="15">
        <f t="shared" si="11"/>
        <v>12.54</v>
      </c>
      <c r="AG14" s="1">
        <v>13.61</v>
      </c>
      <c r="AH14" s="23">
        <v>0</v>
      </c>
      <c r="AI14" s="23">
        <v>0</v>
      </c>
      <c r="AJ14" s="26">
        <v>0</v>
      </c>
      <c r="AK14" s="15">
        <f t="shared" si="2"/>
        <v>13.61</v>
      </c>
      <c r="AL14" s="26">
        <f t="shared" si="23"/>
        <v>17.018875414143626</v>
      </c>
      <c r="AM14" s="26">
        <f t="shared" si="23"/>
        <v>0</v>
      </c>
      <c r="AN14" s="26">
        <f t="shared" si="24"/>
        <v>0</v>
      </c>
      <c r="AO14" s="26">
        <v>0</v>
      </c>
      <c r="AP14" s="15">
        <f t="shared" si="3"/>
        <v>17.018875414143626</v>
      </c>
      <c r="AQ14" s="26">
        <f t="shared" si="25"/>
        <v>21.28156652183265</v>
      </c>
      <c r="AR14" s="26">
        <f t="shared" si="25"/>
        <v>0</v>
      </c>
      <c r="AS14" s="26">
        <f t="shared" si="26"/>
        <v>0</v>
      </c>
      <c r="AT14" s="26">
        <v>0</v>
      </c>
      <c r="AU14" s="15">
        <f t="shared" si="4"/>
        <v>21.28156652183265</v>
      </c>
      <c r="AV14" s="26">
        <f t="shared" si="27"/>
        <v>26.61192720447317</v>
      </c>
      <c r="AW14" s="26">
        <f t="shared" si="27"/>
        <v>0</v>
      </c>
      <c r="AX14" s="26">
        <f t="shared" si="28"/>
        <v>0</v>
      </c>
      <c r="AY14" s="26"/>
      <c r="AZ14" s="15">
        <f t="shared" si="15"/>
        <v>26.61192720447317</v>
      </c>
      <c r="BA14" s="26">
        <f t="shared" si="29"/>
        <v>33.27737499068247</v>
      </c>
      <c r="BB14" s="26">
        <f t="shared" si="29"/>
        <v>0</v>
      </c>
      <c r="BC14" s="26">
        <f t="shared" si="30"/>
        <v>0</v>
      </c>
      <c r="BD14" s="26">
        <v>0</v>
      </c>
      <c r="BE14" s="15">
        <f t="shared" si="6"/>
        <v>33.27737499068247</v>
      </c>
      <c r="BF14" s="26">
        <f t="shared" si="31"/>
        <v>41.6123070592332</v>
      </c>
      <c r="BG14" s="26">
        <f t="shared" si="31"/>
        <v>0</v>
      </c>
      <c r="BH14" s="26">
        <f t="shared" si="32"/>
        <v>0</v>
      </c>
      <c r="BI14" s="26">
        <v>0</v>
      </c>
      <c r="BJ14" s="15">
        <f t="shared" si="7"/>
        <v>41.6123070592332</v>
      </c>
      <c r="BK14" s="26">
        <f t="shared" si="33"/>
        <v>52.034876527272544</v>
      </c>
      <c r="BL14" s="26">
        <f t="shared" si="33"/>
        <v>0</v>
      </c>
      <c r="BM14" s="26">
        <f t="shared" si="34"/>
        <v>0</v>
      </c>
      <c r="BN14" s="26">
        <f t="shared" si="35"/>
        <v>0</v>
      </c>
      <c r="BO14" s="15">
        <f t="shared" si="8"/>
        <v>52.034876527272544</v>
      </c>
      <c r="BP14" s="20">
        <v>0.2504684360134921</v>
      </c>
      <c r="BQ14" s="18"/>
    </row>
    <row r="15" spans="1:69" s="19" customFormat="1" ht="15">
      <c r="A15" s="21">
        <v>2030</v>
      </c>
      <c r="B15" s="2" t="s">
        <v>152</v>
      </c>
      <c r="C15" s="1">
        <v>0.07</v>
      </c>
      <c r="D15" s="26">
        <v>0</v>
      </c>
      <c r="E15" s="26">
        <v>0</v>
      </c>
      <c r="F15" s="26">
        <v>0</v>
      </c>
      <c r="G15" s="15">
        <f t="shared" si="21"/>
        <v>0.07</v>
      </c>
      <c r="H15" s="1">
        <v>0.05</v>
      </c>
      <c r="I15" s="26">
        <v>0</v>
      </c>
      <c r="J15" s="26">
        <v>0</v>
      </c>
      <c r="K15" s="26">
        <v>0</v>
      </c>
      <c r="L15" s="15">
        <f t="shared" si="22"/>
        <v>0.05</v>
      </c>
      <c r="M15" s="26">
        <v>0.38</v>
      </c>
      <c r="N15" s="26">
        <v>0</v>
      </c>
      <c r="O15" s="26">
        <v>0</v>
      </c>
      <c r="P15" s="26">
        <v>0</v>
      </c>
      <c r="Q15" s="25">
        <f t="shared" si="19"/>
        <v>0.38</v>
      </c>
      <c r="R15" s="26">
        <v>0.2</v>
      </c>
      <c r="S15" s="26">
        <v>0</v>
      </c>
      <c r="T15" s="26">
        <v>0</v>
      </c>
      <c r="U15" s="26">
        <v>0</v>
      </c>
      <c r="V15" s="15">
        <f t="shared" si="9"/>
        <v>0.2</v>
      </c>
      <c r="W15" s="1">
        <v>0.13</v>
      </c>
      <c r="X15" s="26">
        <v>0</v>
      </c>
      <c r="Y15" s="26">
        <v>0</v>
      </c>
      <c r="Z15" s="26">
        <v>0</v>
      </c>
      <c r="AA15" s="15">
        <f t="shared" si="10"/>
        <v>0.13</v>
      </c>
      <c r="AB15" s="1">
        <v>0.2</v>
      </c>
      <c r="AC15" s="23"/>
      <c r="AD15" s="23">
        <v>0</v>
      </c>
      <c r="AE15" s="26">
        <v>0</v>
      </c>
      <c r="AF15" s="15">
        <f t="shared" si="11"/>
        <v>0.2</v>
      </c>
      <c r="AG15" s="1">
        <v>0.2</v>
      </c>
      <c r="AH15" s="23">
        <v>0</v>
      </c>
      <c r="AI15" s="23">
        <v>0</v>
      </c>
      <c r="AJ15" s="26">
        <v>0</v>
      </c>
      <c r="AK15" s="15">
        <f t="shared" si="2"/>
        <v>0.2</v>
      </c>
      <c r="AL15" s="26">
        <f t="shared" si="23"/>
        <v>0.2378192370793511</v>
      </c>
      <c r="AM15" s="26">
        <f t="shared" si="23"/>
        <v>0</v>
      </c>
      <c r="AN15" s="26">
        <f t="shared" si="24"/>
        <v>0</v>
      </c>
      <c r="AO15" s="26">
        <v>0</v>
      </c>
      <c r="AP15" s="15">
        <f t="shared" si="3"/>
        <v>0.2378192370793511</v>
      </c>
      <c r="AQ15" s="26">
        <f t="shared" si="25"/>
        <v>0.282789947625023</v>
      </c>
      <c r="AR15" s="26">
        <f t="shared" si="25"/>
        <v>0</v>
      </c>
      <c r="AS15" s="26">
        <f t="shared" si="26"/>
        <v>0</v>
      </c>
      <c r="AT15" s="26">
        <v>0</v>
      </c>
      <c r="AU15" s="15">
        <f t="shared" si="4"/>
        <v>0.282789947625023</v>
      </c>
      <c r="AV15" s="26">
        <f t="shared" si="27"/>
        <v>0.33626444798946314</v>
      </c>
      <c r="AW15" s="26">
        <f t="shared" si="27"/>
        <v>0</v>
      </c>
      <c r="AX15" s="26">
        <f t="shared" si="28"/>
        <v>0</v>
      </c>
      <c r="AY15" s="26"/>
      <c r="AZ15" s="15">
        <f t="shared" si="15"/>
        <v>0.33626444798946314</v>
      </c>
      <c r="BA15" s="26">
        <f t="shared" si="29"/>
        <v>0.3998507723888163</v>
      </c>
      <c r="BB15" s="26">
        <f t="shared" si="29"/>
        <v>0</v>
      </c>
      <c r="BC15" s="26">
        <f t="shared" si="30"/>
        <v>0</v>
      </c>
      <c r="BD15" s="26">
        <v>0</v>
      </c>
      <c r="BE15" s="15">
        <f t="shared" si="6"/>
        <v>0.3998507723888163</v>
      </c>
      <c r="BF15" s="26">
        <f t="shared" si="31"/>
        <v>0.47546102817548774</v>
      </c>
      <c r="BG15" s="26">
        <f t="shared" si="31"/>
        <v>0</v>
      </c>
      <c r="BH15" s="26">
        <f t="shared" si="32"/>
        <v>0</v>
      </c>
      <c r="BI15" s="26">
        <v>0</v>
      </c>
      <c r="BJ15" s="15">
        <f t="shared" si="7"/>
        <v>0.47546102817548774</v>
      </c>
      <c r="BK15" s="26">
        <f t="shared" si="33"/>
        <v>0.5653688949082918</v>
      </c>
      <c r="BL15" s="26">
        <f t="shared" si="33"/>
        <v>0</v>
      </c>
      <c r="BM15" s="26">
        <f t="shared" si="34"/>
        <v>0</v>
      </c>
      <c r="BN15" s="26">
        <f t="shared" si="35"/>
        <v>0</v>
      </c>
      <c r="BO15" s="15">
        <f t="shared" si="8"/>
        <v>0.5653688949082918</v>
      </c>
      <c r="BP15" s="20">
        <v>0.1890961853967555</v>
      </c>
      <c r="BQ15" s="18"/>
    </row>
    <row r="16" spans="1:69" s="19" customFormat="1" ht="45">
      <c r="A16" s="21">
        <v>2035</v>
      </c>
      <c r="B16" s="2" t="s">
        <v>155</v>
      </c>
      <c r="C16" s="27">
        <v>0</v>
      </c>
      <c r="D16" s="30">
        <v>0</v>
      </c>
      <c r="E16" s="30">
        <v>0</v>
      </c>
      <c r="F16" s="30">
        <v>0</v>
      </c>
      <c r="G16" s="29">
        <f t="shared" si="21"/>
        <v>0</v>
      </c>
      <c r="H16" s="31">
        <v>0</v>
      </c>
      <c r="I16" s="32">
        <v>0</v>
      </c>
      <c r="J16" s="32">
        <v>0</v>
      </c>
      <c r="K16" s="30">
        <v>0</v>
      </c>
      <c r="L16" s="15">
        <f t="shared" si="22"/>
        <v>0</v>
      </c>
      <c r="M16" s="26">
        <v>0</v>
      </c>
      <c r="N16" s="26">
        <v>0</v>
      </c>
      <c r="O16" s="26">
        <v>0</v>
      </c>
      <c r="P16" s="30">
        <v>0</v>
      </c>
      <c r="Q16" s="25">
        <f t="shared" si="19"/>
        <v>0</v>
      </c>
      <c r="R16" s="26">
        <v>0</v>
      </c>
      <c r="S16" s="26">
        <v>0</v>
      </c>
      <c r="T16" s="26">
        <v>0</v>
      </c>
      <c r="U16" s="30">
        <v>0</v>
      </c>
      <c r="V16" s="15">
        <f t="shared" si="9"/>
        <v>0</v>
      </c>
      <c r="W16" s="31"/>
      <c r="X16" s="26">
        <v>0</v>
      </c>
      <c r="Y16" s="26">
        <v>0</v>
      </c>
      <c r="Z16" s="30">
        <v>0</v>
      </c>
      <c r="AA16" s="15">
        <f t="shared" si="10"/>
        <v>0</v>
      </c>
      <c r="AB16" s="26">
        <v>0</v>
      </c>
      <c r="AC16" s="26">
        <v>0</v>
      </c>
      <c r="AD16" s="26">
        <v>0</v>
      </c>
      <c r="AE16" s="30">
        <v>0</v>
      </c>
      <c r="AF16" s="15">
        <f t="shared" si="11"/>
        <v>0</v>
      </c>
      <c r="AG16" s="26">
        <v>0</v>
      </c>
      <c r="AH16" s="23">
        <v>0</v>
      </c>
      <c r="AI16" s="23">
        <v>0</v>
      </c>
      <c r="AJ16" s="30">
        <v>0</v>
      </c>
      <c r="AK16" s="15">
        <f t="shared" si="2"/>
        <v>0</v>
      </c>
      <c r="AL16" s="26">
        <f t="shared" si="23"/>
        <v>0</v>
      </c>
      <c r="AM16" s="26">
        <f t="shared" si="23"/>
        <v>0</v>
      </c>
      <c r="AN16" s="26">
        <f t="shared" si="24"/>
        <v>0</v>
      </c>
      <c r="AO16" s="30">
        <v>0</v>
      </c>
      <c r="AP16" s="15">
        <f t="shared" si="3"/>
        <v>0</v>
      </c>
      <c r="AQ16" s="26">
        <f t="shared" si="25"/>
        <v>0</v>
      </c>
      <c r="AR16" s="26">
        <f t="shared" si="25"/>
        <v>0</v>
      </c>
      <c r="AS16" s="26">
        <f t="shared" si="26"/>
        <v>0</v>
      </c>
      <c r="AT16" s="30">
        <v>0</v>
      </c>
      <c r="AU16" s="15">
        <f t="shared" si="4"/>
        <v>0</v>
      </c>
      <c r="AV16" s="26">
        <f t="shared" si="27"/>
        <v>0</v>
      </c>
      <c r="AW16" s="26">
        <f t="shared" si="27"/>
        <v>0</v>
      </c>
      <c r="AX16" s="26">
        <f t="shared" si="28"/>
        <v>0</v>
      </c>
      <c r="AY16" s="26"/>
      <c r="AZ16" s="15">
        <f t="shared" si="15"/>
        <v>0</v>
      </c>
      <c r="BA16" s="26">
        <f t="shared" si="29"/>
        <v>0</v>
      </c>
      <c r="BB16" s="26">
        <f t="shared" si="29"/>
        <v>0</v>
      </c>
      <c r="BC16" s="26">
        <f t="shared" si="30"/>
        <v>0</v>
      </c>
      <c r="BD16" s="30">
        <v>0</v>
      </c>
      <c r="BE16" s="15">
        <f t="shared" si="6"/>
        <v>0</v>
      </c>
      <c r="BF16" s="26">
        <f t="shared" si="31"/>
        <v>0</v>
      </c>
      <c r="BG16" s="26">
        <f t="shared" si="31"/>
        <v>0</v>
      </c>
      <c r="BH16" s="26">
        <f t="shared" si="32"/>
        <v>0</v>
      </c>
      <c r="BI16" s="30">
        <v>0</v>
      </c>
      <c r="BJ16" s="15">
        <f t="shared" si="7"/>
        <v>0</v>
      </c>
      <c r="BK16" s="26">
        <f t="shared" si="33"/>
        <v>0</v>
      </c>
      <c r="BL16" s="26">
        <f t="shared" si="33"/>
        <v>0</v>
      </c>
      <c r="BM16" s="26">
        <f t="shared" si="34"/>
        <v>0</v>
      </c>
      <c r="BN16" s="26">
        <f t="shared" si="35"/>
        <v>0</v>
      </c>
      <c r="BO16" s="15">
        <f t="shared" si="8"/>
        <v>0</v>
      </c>
      <c r="BP16" s="20"/>
      <c r="BQ16" s="18"/>
    </row>
    <row r="17" spans="1:69" s="19" customFormat="1" ht="15">
      <c r="A17" s="21">
        <v>2039</v>
      </c>
      <c r="B17" s="2" t="s">
        <v>156</v>
      </c>
      <c r="C17" s="1">
        <v>1.97</v>
      </c>
      <c r="D17" s="26">
        <v>0</v>
      </c>
      <c r="E17" s="26">
        <v>0</v>
      </c>
      <c r="F17" s="26">
        <v>0</v>
      </c>
      <c r="G17" s="15">
        <f t="shared" si="21"/>
        <v>1.97</v>
      </c>
      <c r="H17" s="1">
        <v>2.36</v>
      </c>
      <c r="I17" s="26">
        <v>0</v>
      </c>
      <c r="J17" s="26">
        <v>0</v>
      </c>
      <c r="K17" s="26">
        <v>0</v>
      </c>
      <c r="L17" s="15">
        <f t="shared" si="22"/>
        <v>2.36</v>
      </c>
      <c r="M17" s="26">
        <v>3.62</v>
      </c>
      <c r="N17" s="26">
        <v>0</v>
      </c>
      <c r="O17" s="26">
        <v>0</v>
      </c>
      <c r="P17" s="26">
        <v>0</v>
      </c>
      <c r="Q17" s="25">
        <f t="shared" si="19"/>
        <v>3.62</v>
      </c>
      <c r="R17" s="26">
        <v>3.93</v>
      </c>
      <c r="S17" s="26">
        <v>0</v>
      </c>
      <c r="T17" s="26">
        <v>0</v>
      </c>
      <c r="U17" s="26">
        <v>0</v>
      </c>
      <c r="V17" s="15">
        <f t="shared" si="9"/>
        <v>3.93</v>
      </c>
      <c r="W17" s="1">
        <v>3.87</v>
      </c>
      <c r="X17" s="26">
        <v>0</v>
      </c>
      <c r="Y17" s="26">
        <v>0</v>
      </c>
      <c r="Z17" s="26">
        <v>0</v>
      </c>
      <c r="AA17" s="15">
        <f t="shared" si="10"/>
        <v>3.87</v>
      </c>
      <c r="AB17" s="1">
        <v>4.46</v>
      </c>
      <c r="AC17" s="26">
        <v>0</v>
      </c>
      <c r="AD17" s="26">
        <v>0</v>
      </c>
      <c r="AE17" s="26">
        <v>0</v>
      </c>
      <c r="AF17" s="15">
        <f t="shared" si="11"/>
        <v>4.46</v>
      </c>
      <c r="AG17" s="1">
        <v>4.83</v>
      </c>
      <c r="AH17" s="23">
        <v>0</v>
      </c>
      <c r="AI17" s="23">
        <v>0</v>
      </c>
      <c r="AJ17" s="26">
        <v>0</v>
      </c>
      <c r="AK17" s="15">
        <f t="shared" si="2"/>
        <v>4.83</v>
      </c>
      <c r="AL17" s="26">
        <f t="shared" si="23"/>
        <v>5.577730379302747</v>
      </c>
      <c r="AM17" s="26">
        <f t="shared" si="23"/>
        <v>0</v>
      </c>
      <c r="AN17" s="26">
        <f t="shared" si="24"/>
        <v>0</v>
      </c>
      <c r="AO17" s="26">
        <v>0</v>
      </c>
      <c r="AP17" s="15">
        <f t="shared" si="3"/>
        <v>5.577730379302747</v>
      </c>
      <c r="AQ17" s="26">
        <f t="shared" si="25"/>
        <v>6.441216601282975</v>
      </c>
      <c r="AR17" s="26">
        <f t="shared" si="25"/>
        <v>0</v>
      </c>
      <c r="AS17" s="26">
        <f t="shared" si="26"/>
        <v>0</v>
      </c>
      <c r="AT17" s="26">
        <v>0</v>
      </c>
      <c r="AU17" s="15">
        <f t="shared" si="4"/>
        <v>6.441216601282975</v>
      </c>
      <c r="AV17" s="26">
        <f t="shared" si="27"/>
        <v>7.438378781914129</v>
      </c>
      <c r="AW17" s="26">
        <f t="shared" si="27"/>
        <v>0</v>
      </c>
      <c r="AX17" s="26">
        <f t="shared" si="28"/>
        <v>0</v>
      </c>
      <c r="AY17" s="26"/>
      <c r="AZ17" s="15">
        <f t="shared" si="15"/>
        <v>7.438378781914129</v>
      </c>
      <c r="BA17" s="26">
        <f t="shared" si="29"/>
        <v>8.589911243197392</v>
      </c>
      <c r="BB17" s="26">
        <f t="shared" si="29"/>
        <v>0</v>
      </c>
      <c r="BC17" s="26">
        <f t="shared" si="30"/>
        <v>0</v>
      </c>
      <c r="BD17" s="26">
        <v>0</v>
      </c>
      <c r="BE17" s="15">
        <f t="shared" si="6"/>
        <v>8.589911243197392</v>
      </c>
      <c r="BF17" s="26">
        <f t="shared" si="31"/>
        <v>9.919711986893649</v>
      </c>
      <c r="BG17" s="26">
        <f t="shared" si="31"/>
        <v>0</v>
      </c>
      <c r="BH17" s="26">
        <f t="shared" si="32"/>
        <v>0</v>
      </c>
      <c r="BI17" s="26">
        <v>0</v>
      </c>
      <c r="BJ17" s="15">
        <f t="shared" si="7"/>
        <v>9.919711986893649</v>
      </c>
      <c r="BK17" s="26">
        <f t="shared" si="33"/>
        <v>11.45537865491311</v>
      </c>
      <c r="BL17" s="26">
        <f t="shared" si="33"/>
        <v>0</v>
      </c>
      <c r="BM17" s="26">
        <f t="shared" si="34"/>
        <v>0</v>
      </c>
      <c r="BN17" s="26">
        <f t="shared" si="35"/>
        <v>0</v>
      </c>
      <c r="BO17" s="15">
        <f>+BK17+BL17</f>
        <v>11.45537865491311</v>
      </c>
      <c r="BP17" s="20">
        <v>0.15480960234011334</v>
      </c>
      <c r="BQ17" s="18"/>
    </row>
    <row r="18" spans="1:69" s="19" customFormat="1" ht="15">
      <c r="A18" s="21">
        <v>2040</v>
      </c>
      <c r="B18" s="2" t="s">
        <v>157</v>
      </c>
      <c r="C18" s="1">
        <v>1.72</v>
      </c>
      <c r="D18" s="26">
        <v>0</v>
      </c>
      <c r="E18" s="26">
        <v>0</v>
      </c>
      <c r="F18" s="26">
        <v>0</v>
      </c>
      <c r="G18" s="15">
        <f t="shared" si="21"/>
        <v>1.72</v>
      </c>
      <c r="H18" s="1">
        <v>1.95</v>
      </c>
      <c r="I18" s="26">
        <v>0</v>
      </c>
      <c r="J18" s="26">
        <v>0</v>
      </c>
      <c r="K18" s="26">
        <v>0</v>
      </c>
      <c r="L18" s="15">
        <f t="shared" si="22"/>
        <v>1.95</v>
      </c>
      <c r="M18" s="26">
        <v>3.75</v>
      </c>
      <c r="N18" s="26">
        <v>0</v>
      </c>
      <c r="O18" s="26">
        <v>0</v>
      </c>
      <c r="P18" s="26">
        <v>0</v>
      </c>
      <c r="Q18" s="25">
        <f t="shared" si="19"/>
        <v>3.75</v>
      </c>
      <c r="R18" s="26">
        <v>3.28</v>
      </c>
      <c r="S18" s="26">
        <v>0</v>
      </c>
      <c r="T18" s="26">
        <v>0</v>
      </c>
      <c r="U18" s="26">
        <v>0</v>
      </c>
      <c r="V18" s="15">
        <f t="shared" si="9"/>
        <v>3.28</v>
      </c>
      <c r="W18" s="1">
        <v>3.64</v>
      </c>
      <c r="X18" s="1">
        <f>0+Y18</f>
        <v>2.43</v>
      </c>
      <c r="Y18" s="1">
        <v>2.43</v>
      </c>
      <c r="Z18" s="26">
        <v>0</v>
      </c>
      <c r="AA18" s="15">
        <f t="shared" si="10"/>
        <v>6.07</v>
      </c>
      <c r="AB18" s="1">
        <v>4.52</v>
      </c>
      <c r="AC18" s="1">
        <v>2.3</v>
      </c>
      <c r="AD18" s="1">
        <v>2.3</v>
      </c>
      <c r="AE18" s="26"/>
      <c r="AF18" s="15">
        <f t="shared" si="11"/>
        <v>6.819999999999999</v>
      </c>
      <c r="AG18" s="1">
        <v>4.6</v>
      </c>
      <c r="AH18" s="1">
        <v>4.03</v>
      </c>
      <c r="AI18" s="1">
        <v>4.03</v>
      </c>
      <c r="AJ18" s="26">
        <v>0</v>
      </c>
      <c r="AK18" s="15">
        <f t="shared" si="2"/>
        <v>8.629999999999999</v>
      </c>
      <c r="AL18" s="26">
        <f t="shared" si="23"/>
        <v>5.421874635114116</v>
      </c>
      <c r="AM18" s="26">
        <f t="shared" si="23"/>
        <v>4.4833750000000006</v>
      </c>
      <c r="AN18" s="26">
        <f t="shared" si="24"/>
        <v>4.4833750000000006</v>
      </c>
      <c r="AO18" s="26">
        <v>0</v>
      </c>
      <c r="AP18" s="15">
        <f t="shared" si="3"/>
        <v>9.905249635114117</v>
      </c>
      <c r="AQ18" s="26">
        <f t="shared" si="25"/>
        <v>6.390592295411702</v>
      </c>
      <c r="AR18" s="26">
        <f t="shared" si="25"/>
        <v>4.987754687500001</v>
      </c>
      <c r="AS18" s="26">
        <f t="shared" si="26"/>
        <v>4.987754687500001</v>
      </c>
      <c r="AT18" s="26">
        <v>0</v>
      </c>
      <c r="AU18" s="15">
        <f t="shared" si="4"/>
        <v>11.378346982911703</v>
      </c>
      <c r="AV18" s="26">
        <f t="shared" si="27"/>
        <v>7.532389189097479</v>
      </c>
      <c r="AW18" s="26">
        <f t="shared" si="27"/>
        <v>5.548877089843751</v>
      </c>
      <c r="AX18" s="26">
        <f t="shared" si="28"/>
        <v>5.548877089843751</v>
      </c>
      <c r="AY18" s="26"/>
      <c r="AZ18" s="15">
        <f t="shared" si="15"/>
        <v>13.08126627894123</v>
      </c>
      <c r="BA18" s="26">
        <f t="shared" si="29"/>
        <v>8.878189105690307</v>
      </c>
      <c r="BB18" s="26">
        <f t="shared" si="29"/>
        <v>6.173125762451173</v>
      </c>
      <c r="BC18" s="26">
        <f t="shared" si="30"/>
        <v>6.173125762451173</v>
      </c>
      <c r="BD18" s="26">
        <v>0</v>
      </c>
      <c r="BE18" s="15">
        <f t="shared" si="6"/>
        <v>15.05131486814148</v>
      </c>
      <c r="BF18" s="26">
        <f t="shared" si="31"/>
        <v>10.46444093867147</v>
      </c>
      <c r="BG18" s="26">
        <f t="shared" si="31"/>
        <v>6.86760241072693</v>
      </c>
      <c r="BH18" s="26">
        <f t="shared" si="32"/>
        <v>6.86760241072693</v>
      </c>
      <c r="BI18" s="26">
        <v>0</v>
      </c>
      <c r="BJ18" s="15">
        <f t="shared" si="7"/>
        <v>17.332043349398397</v>
      </c>
      <c r="BK18" s="26">
        <f t="shared" si="33"/>
        <v>12.334105846963608</v>
      </c>
      <c r="BL18" s="26">
        <f t="shared" si="33"/>
        <v>7.640207681933709</v>
      </c>
      <c r="BM18" s="26">
        <f t="shared" si="34"/>
        <v>7.640207681933709</v>
      </c>
      <c r="BN18" s="26">
        <f t="shared" si="35"/>
        <v>0</v>
      </c>
      <c r="BO18" s="15">
        <f t="shared" si="8"/>
        <v>19.974313528897316</v>
      </c>
      <c r="BP18" s="20">
        <v>0.1786683989378514</v>
      </c>
      <c r="BQ18" s="18">
        <v>0.1125</v>
      </c>
    </row>
    <row r="19" spans="1:69" s="19" customFormat="1" ht="15">
      <c r="A19" s="21">
        <v>2041</v>
      </c>
      <c r="B19" s="2" t="s">
        <v>158</v>
      </c>
      <c r="C19" s="1">
        <v>0.6</v>
      </c>
      <c r="D19" s="26">
        <v>0</v>
      </c>
      <c r="E19" s="26">
        <v>0</v>
      </c>
      <c r="F19" s="26">
        <v>0</v>
      </c>
      <c r="G19" s="15">
        <f t="shared" si="21"/>
        <v>0.6</v>
      </c>
      <c r="H19" s="1">
        <v>0.77</v>
      </c>
      <c r="I19" s="26">
        <v>0</v>
      </c>
      <c r="J19" s="1"/>
      <c r="K19" s="26">
        <v>0</v>
      </c>
      <c r="L19" s="15">
        <f t="shared" si="22"/>
        <v>0.77</v>
      </c>
      <c r="M19" s="26">
        <v>1.34</v>
      </c>
      <c r="N19" s="26">
        <v>0</v>
      </c>
      <c r="O19" s="26">
        <v>0</v>
      </c>
      <c r="P19" s="26">
        <v>0</v>
      </c>
      <c r="Q19" s="25">
        <f t="shared" si="19"/>
        <v>1.34</v>
      </c>
      <c r="R19" s="26">
        <v>1.13</v>
      </c>
      <c r="S19" s="26">
        <v>0</v>
      </c>
      <c r="T19" s="26">
        <v>0</v>
      </c>
      <c r="U19" s="26">
        <v>0</v>
      </c>
      <c r="V19" s="15">
        <f t="shared" si="9"/>
        <v>1.13</v>
      </c>
      <c r="W19" s="1">
        <v>1.32</v>
      </c>
      <c r="X19" s="1"/>
      <c r="Y19" s="1"/>
      <c r="Z19" s="26">
        <v>0</v>
      </c>
      <c r="AA19" s="15">
        <f t="shared" si="10"/>
        <v>1.32</v>
      </c>
      <c r="AB19" s="1">
        <v>1.47</v>
      </c>
      <c r="AC19" s="26">
        <v>0</v>
      </c>
      <c r="AD19" s="26">
        <v>0</v>
      </c>
      <c r="AE19" s="26">
        <v>0</v>
      </c>
      <c r="AF19" s="15">
        <f t="shared" si="11"/>
        <v>1.47</v>
      </c>
      <c r="AG19" s="1">
        <v>1.9</v>
      </c>
      <c r="AH19" s="26">
        <v>0</v>
      </c>
      <c r="AI19" s="26">
        <v>0</v>
      </c>
      <c r="AJ19" s="26">
        <v>0</v>
      </c>
      <c r="AK19" s="15">
        <f t="shared" si="2"/>
        <v>1.9</v>
      </c>
      <c r="AL19" s="26">
        <f t="shared" si="23"/>
        <v>2.2501701820574027</v>
      </c>
      <c r="AM19" s="26">
        <f t="shared" si="23"/>
        <v>0</v>
      </c>
      <c r="AN19" s="26">
        <f t="shared" si="24"/>
        <v>0</v>
      </c>
      <c r="AO19" s="26">
        <v>0</v>
      </c>
      <c r="AP19" s="15">
        <f t="shared" si="3"/>
        <v>2.2501701820574027</v>
      </c>
      <c r="AQ19" s="26">
        <f t="shared" si="25"/>
        <v>2.6648767622211813</v>
      </c>
      <c r="AR19" s="26">
        <f t="shared" si="25"/>
        <v>0</v>
      </c>
      <c r="AS19" s="26">
        <f t="shared" si="26"/>
        <v>0</v>
      </c>
      <c r="AT19" s="26">
        <v>0</v>
      </c>
      <c r="AU19" s="15">
        <f t="shared" si="4"/>
        <v>2.6648767622211813</v>
      </c>
      <c r="AV19" s="26">
        <f t="shared" si="27"/>
        <v>3.1560138048461988</v>
      </c>
      <c r="AW19" s="26">
        <f t="shared" si="27"/>
        <v>0</v>
      </c>
      <c r="AX19" s="26">
        <f t="shared" si="28"/>
        <v>0</v>
      </c>
      <c r="AY19" s="26"/>
      <c r="AZ19" s="15">
        <f t="shared" si="15"/>
        <v>3.1560138048461988</v>
      </c>
      <c r="BA19" s="26">
        <f t="shared" si="29"/>
        <v>3.737667451487604</v>
      </c>
      <c r="BB19" s="26">
        <f t="shared" si="29"/>
        <v>0</v>
      </c>
      <c r="BC19" s="26">
        <f t="shared" si="30"/>
        <v>0</v>
      </c>
      <c r="BD19" s="26">
        <v>0</v>
      </c>
      <c r="BE19" s="15">
        <f t="shared" si="6"/>
        <v>3.737667451487604</v>
      </c>
      <c r="BF19" s="26">
        <f t="shared" si="31"/>
        <v>4.4265199209388895</v>
      </c>
      <c r="BG19" s="26">
        <f t="shared" si="31"/>
        <v>0</v>
      </c>
      <c r="BH19" s="26">
        <f t="shared" si="32"/>
        <v>0</v>
      </c>
      <c r="BI19" s="26">
        <v>0</v>
      </c>
      <c r="BJ19" s="15">
        <f t="shared" si="7"/>
        <v>4.4265199209388895</v>
      </c>
      <c r="BK19" s="26">
        <f t="shared" si="33"/>
        <v>5.242327966515674</v>
      </c>
      <c r="BL19" s="26">
        <f t="shared" si="33"/>
        <v>0</v>
      </c>
      <c r="BM19" s="26">
        <f t="shared" si="34"/>
        <v>0</v>
      </c>
      <c r="BN19" s="26">
        <f t="shared" si="35"/>
        <v>0</v>
      </c>
      <c r="BO19" s="15">
        <f t="shared" si="8"/>
        <v>5.242327966515674</v>
      </c>
      <c r="BP19" s="20">
        <v>0.18430009581968562</v>
      </c>
      <c r="BQ19" s="18"/>
    </row>
    <row r="20" spans="1:69" s="19" customFormat="1" ht="30">
      <c r="A20" s="21">
        <v>2045</v>
      </c>
      <c r="B20" s="2" t="s">
        <v>159</v>
      </c>
      <c r="C20" s="27">
        <v>16.48</v>
      </c>
      <c r="D20" s="28">
        <v>0</v>
      </c>
      <c r="E20" s="28">
        <v>0</v>
      </c>
      <c r="F20" s="28">
        <v>0</v>
      </c>
      <c r="G20" s="29">
        <f t="shared" si="21"/>
        <v>16.48</v>
      </c>
      <c r="H20" s="31">
        <v>14.29</v>
      </c>
      <c r="I20" s="32">
        <v>0</v>
      </c>
      <c r="J20" s="26">
        <v>0</v>
      </c>
      <c r="K20" s="28">
        <v>0</v>
      </c>
      <c r="L20" s="15">
        <f t="shared" si="22"/>
        <v>14.29</v>
      </c>
      <c r="M20" s="26">
        <v>12.04</v>
      </c>
      <c r="N20" s="26">
        <v>0</v>
      </c>
      <c r="O20" s="26">
        <v>0</v>
      </c>
      <c r="P20" s="28">
        <v>0</v>
      </c>
      <c r="Q20" s="25">
        <f t="shared" si="19"/>
        <v>12.04</v>
      </c>
      <c r="R20" s="26">
        <v>15.78</v>
      </c>
      <c r="S20" s="26">
        <v>0</v>
      </c>
      <c r="T20" s="26">
        <v>0</v>
      </c>
      <c r="U20" s="28">
        <v>0</v>
      </c>
      <c r="V20" s="15">
        <f t="shared" si="9"/>
        <v>15.78</v>
      </c>
      <c r="W20" s="1">
        <v>18.3</v>
      </c>
      <c r="X20" s="1">
        <v>1.8</v>
      </c>
      <c r="Y20" s="1"/>
      <c r="Z20" s="28">
        <v>0</v>
      </c>
      <c r="AA20" s="15">
        <f t="shared" si="10"/>
        <v>20.1</v>
      </c>
      <c r="AB20" s="1">
        <v>31.91</v>
      </c>
      <c r="AC20" s="26">
        <v>0</v>
      </c>
      <c r="AD20" s="26">
        <v>0</v>
      </c>
      <c r="AE20" s="28">
        <v>0</v>
      </c>
      <c r="AF20" s="15">
        <f t="shared" si="11"/>
        <v>31.91</v>
      </c>
      <c r="AG20" s="1">
        <v>47.05</v>
      </c>
      <c r="AH20" s="26">
        <v>0</v>
      </c>
      <c r="AI20" s="26">
        <v>0</v>
      </c>
      <c r="AJ20" s="28">
        <v>0</v>
      </c>
      <c r="AK20" s="15">
        <f t="shared" si="2"/>
        <v>47.05</v>
      </c>
      <c r="AL20" s="26">
        <f t="shared" si="23"/>
        <v>52.343125</v>
      </c>
      <c r="AM20" s="26">
        <f t="shared" si="23"/>
        <v>0</v>
      </c>
      <c r="AN20" s="26">
        <f t="shared" si="24"/>
        <v>0</v>
      </c>
      <c r="AO20" s="28">
        <v>0</v>
      </c>
      <c r="AP20" s="15">
        <f t="shared" si="3"/>
        <v>52.343125</v>
      </c>
      <c r="AQ20" s="26">
        <f t="shared" si="25"/>
        <v>58.2317265625</v>
      </c>
      <c r="AR20" s="26">
        <f t="shared" si="25"/>
        <v>0</v>
      </c>
      <c r="AS20" s="26">
        <f t="shared" si="26"/>
        <v>0</v>
      </c>
      <c r="AT20" s="28">
        <v>0</v>
      </c>
      <c r="AU20" s="15">
        <f t="shared" si="4"/>
        <v>58.2317265625</v>
      </c>
      <c r="AV20" s="26">
        <f t="shared" si="27"/>
        <v>64.78279580078124</v>
      </c>
      <c r="AW20" s="26">
        <f t="shared" si="27"/>
        <v>0</v>
      </c>
      <c r="AX20" s="26">
        <f t="shared" si="28"/>
        <v>0</v>
      </c>
      <c r="AY20" s="26"/>
      <c r="AZ20" s="15">
        <f t="shared" si="15"/>
        <v>64.78279580078124</v>
      </c>
      <c r="BA20" s="26">
        <f t="shared" si="29"/>
        <v>72.07086032836914</v>
      </c>
      <c r="BB20" s="26">
        <f t="shared" si="29"/>
        <v>0</v>
      </c>
      <c r="BC20" s="26">
        <f t="shared" si="30"/>
        <v>0</v>
      </c>
      <c r="BD20" s="28">
        <v>0</v>
      </c>
      <c r="BE20" s="15">
        <f t="shared" si="6"/>
        <v>72.07086032836914</v>
      </c>
      <c r="BF20" s="26">
        <f t="shared" si="31"/>
        <v>80.17883211531067</v>
      </c>
      <c r="BG20" s="26">
        <f t="shared" si="31"/>
        <v>0</v>
      </c>
      <c r="BH20" s="26">
        <f t="shared" si="32"/>
        <v>0</v>
      </c>
      <c r="BI20" s="28">
        <v>0</v>
      </c>
      <c r="BJ20" s="15">
        <f t="shared" si="7"/>
        <v>80.17883211531067</v>
      </c>
      <c r="BK20" s="26">
        <f t="shared" si="33"/>
        <v>89.19895072828312</v>
      </c>
      <c r="BL20" s="26">
        <f t="shared" si="33"/>
        <v>0</v>
      </c>
      <c r="BM20" s="26">
        <f t="shared" si="34"/>
        <v>0</v>
      </c>
      <c r="BN20" s="26">
        <f t="shared" si="35"/>
        <v>0</v>
      </c>
      <c r="BO20" s="15">
        <f t="shared" si="8"/>
        <v>89.19895072828312</v>
      </c>
      <c r="BP20" s="20">
        <v>0.1125</v>
      </c>
      <c r="BQ20" s="18"/>
    </row>
    <row r="21" spans="1:69" s="19" customFormat="1" ht="15">
      <c r="A21" s="21">
        <v>2047</v>
      </c>
      <c r="B21" s="2" t="s">
        <v>25</v>
      </c>
      <c r="C21" s="32">
        <v>0</v>
      </c>
      <c r="D21" s="32">
        <v>0</v>
      </c>
      <c r="E21" s="32">
        <v>0</v>
      </c>
      <c r="F21" s="32">
        <v>0</v>
      </c>
      <c r="G21" s="29">
        <f t="shared" si="21"/>
        <v>0</v>
      </c>
      <c r="H21" s="32">
        <v>0</v>
      </c>
      <c r="I21" s="32">
        <v>0</v>
      </c>
      <c r="J21" s="26">
        <v>0</v>
      </c>
      <c r="K21" s="32">
        <v>0</v>
      </c>
      <c r="L21" s="15">
        <f t="shared" si="22"/>
        <v>0</v>
      </c>
      <c r="M21" s="26">
        <v>0</v>
      </c>
      <c r="N21" s="26">
        <v>0</v>
      </c>
      <c r="O21" s="26">
        <v>0</v>
      </c>
      <c r="P21" s="32">
        <v>0</v>
      </c>
      <c r="Q21" s="25">
        <f t="shared" si="19"/>
        <v>0</v>
      </c>
      <c r="R21" s="26">
        <v>0</v>
      </c>
      <c r="S21" s="26">
        <v>0</v>
      </c>
      <c r="T21" s="26">
        <v>0</v>
      </c>
      <c r="U21" s="32">
        <v>0</v>
      </c>
      <c r="V21" s="15">
        <f t="shared" si="9"/>
        <v>0</v>
      </c>
      <c r="W21" s="1"/>
      <c r="X21" s="1"/>
      <c r="Y21" s="1"/>
      <c r="Z21" s="32">
        <v>0</v>
      </c>
      <c r="AA21" s="15">
        <f t="shared" si="10"/>
        <v>0</v>
      </c>
      <c r="AB21" s="1"/>
      <c r="AC21" s="26">
        <v>0</v>
      </c>
      <c r="AD21" s="26">
        <v>0</v>
      </c>
      <c r="AE21" s="32">
        <v>0</v>
      </c>
      <c r="AF21" s="15">
        <f t="shared" si="11"/>
        <v>0</v>
      </c>
      <c r="AG21" s="1"/>
      <c r="AH21" s="26">
        <v>0</v>
      </c>
      <c r="AI21" s="26">
        <v>0</v>
      </c>
      <c r="AJ21" s="32">
        <v>0</v>
      </c>
      <c r="AK21" s="15">
        <f t="shared" si="2"/>
        <v>0</v>
      </c>
      <c r="AL21" s="26">
        <f t="shared" si="23"/>
        <v>0</v>
      </c>
      <c r="AM21" s="26">
        <f t="shared" si="23"/>
        <v>0</v>
      </c>
      <c r="AN21" s="26">
        <f t="shared" si="24"/>
        <v>0</v>
      </c>
      <c r="AO21" s="32">
        <v>0</v>
      </c>
      <c r="AP21" s="15">
        <f t="shared" si="3"/>
        <v>0</v>
      </c>
      <c r="AQ21" s="26">
        <f t="shared" si="25"/>
        <v>0</v>
      </c>
      <c r="AR21" s="26">
        <f t="shared" si="25"/>
        <v>0</v>
      </c>
      <c r="AS21" s="26">
        <f t="shared" si="26"/>
        <v>0</v>
      </c>
      <c r="AT21" s="32">
        <v>0</v>
      </c>
      <c r="AU21" s="15">
        <f t="shared" si="4"/>
        <v>0</v>
      </c>
      <c r="AV21" s="26">
        <f t="shared" si="27"/>
        <v>0</v>
      </c>
      <c r="AW21" s="26">
        <f t="shared" si="27"/>
        <v>0</v>
      </c>
      <c r="AX21" s="26">
        <f t="shared" si="28"/>
        <v>0</v>
      </c>
      <c r="AY21" s="26"/>
      <c r="AZ21" s="15">
        <f t="shared" si="15"/>
        <v>0</v>
      </c>
      <c r="BA21" s="26">
        <f t="shared" si="29"/>
        <v>0</v>
      </c>
      <c r="BB21" s="26">
        <f t="shared" si="29"/>
        <v>0</v>
      </c>
      <c r="BC21" s="26">
        <f t="shared" si="30"/>
        <v>0</v>
      </c>
      <c r="BD21" s="32">
        <v>0</v>
      </c>
      <c r="BE21" s="15">
        <f t="shared" si="6"/>
        <v>0</v>
      </c>
      <c r="BF21" s="26">
        <f t="shared" si="31"/>
        <v>0</v>
      </c>
      <c r="BG21" s="26">
        <f t="shared" si="31"/>
        <v>0</v>
      </c>
      <c r="BH21" s="26">
        <f t="shared" si="32"/>
        <v>0</v>
      </c>
      <c r="BI21" s="32">
        <v>0</v>
      </c>
      <c r="BJ21" s="15">
        <f t="shared" si="7"/>
        <v>0</v>
      </c>
      <c r="BK21" s="26">
        <f t="shared" si="33"/>
        <v>0</v>
      </c>
      <c r="BL21" s="26">
        <f t="shared" si="33"/>
        <v>0</v>
      </c>
      <c r="BM21" s="26">
        <f t="shared" si="34"/>
        <v>0</v>
      </c>
      <c r="BN21" s="26">
        <f t="shared" si="35"/>
        <v>0</v>
      </c>
      <c r="BO21" s="15">
        <f t="shared" si="8"/>
        <v>0</v>
      </c>
      <c r="BP21" s="20"/>
      <c r="BQ21" s="18"/>
    </row>
    <row r="22" spans="1:69" s="19" customFormat="1" ht="30">
      <c r="A22" s="13" t="s">
        <v>26</v>
      </c>
      <c r="B22" s="14" t="s">
        <v>27</v>
      </c>
      <c r="C22" s="15">
        <f>SUM(C23+C24)</f>
        <v>129.47</v>
      </c>
      <c r="D22" s="15">
        <f aca="true" t="shared" si="36" ref="D22:BO22">SUM(D23+D24)</f>
        <v>0</v>
      </c>
      <c r="E22" s="15">
        <f t="shared" si="36"/>
        <v>0</v>
      </c>
      <c r="F22" s="15">
        <f>SUM(F23+F24)</f>
        <v>0</v>
      </c>
      <c r="G22" s="15">
        <f t="shared" si="36"/>
        <v>129.47</v>
      </c>
      <c r="H22" s="15">
        <f t="shared" si="36"/>
        <v>154.36999999999998</v>
      </c>
      <c r="I22" s="15">
        <f t="shared" si="36"/>
        <v>0</v>
      </c>
      <c r="J22" s="15">
        <f t="shared" si="36"/>
        <v>0</v>
      </c>
      <c r="K22" s="15">
        <f t="shared" si="36"/>
        <v>0</v>
      </c>
      <c r="L22" s="15">
        <f t="shared" si="36"/>
        <v>154.36999999999998</v>
      </c>
      <c r="M22" s="15">
        <f t="shared" si="36"/>
        <v>166.43</v>
      </c>
      <c r="N22" s="15">
        <f t="shared" si="36"/>
        <v>0</v>
      </c>
      <c r="O22" s="15">
        <f t="shared" si="36"/>
        <v>0</v>
      </c>
      <c r="P22" s="15">
        <f>SUM(P23+P24)</f>
        <v>0</v>
      </c>
      <c r="Q22" s="15">
        <f t="shared" si="36"/>
        <v>166.43</v>
      </c>
      <c r="R22" s="15">
        <f t="shared" si="36"/>
        <v>198.76999999999998</v>
      </c>
      <c r="S22" s="15">
        <f t="shared" si="36"/>
        <v>0</v>
      </c>
      <c r="T22" s="15">
        <f t="shared" si="36"/>
        <v>0</v>
      </c>
      <c r="U22" s="15">
        <f>SUM(U23+U24)</f>
        <v>0</v>
      </c>
      <c r="V22" s="15">
        <f t="shared" si="36"/>
        <v>198.76999999999998</v>
      </c>
      <c r="W22" s="15">
        <f t="shared" si="36"/>
        <v>202.83</v>
      </c>
      <c r="X22" s="15">
        <f t="shared" si="36"/>
        <v>0</v>
      </c>
      <c r="Y22" s="15">
        <f t="shared" si="36"/>
        <v>0</v>
      </c>
      <c r="Z22" s="15">
        <f t="shared" si="36"/>
        <v>0</v>
      </c>
      <c r="AA22" s="15">
        <f t="shared" si="36"/>
        <v>202.83</v>
      </c>
      <c r="AB22" s="15">
        <f>SUM(AB23+AB24)</f>
        <v>213.38</v>
      </c>
      <c r="AC22" s="15">
        <f t="shared" si="36"/>
        <v>0</v>
      </c>
      <c r="AD22" s="15">
        <f t="shared" si="36"/>
        <v>0</v>
      </c>
      <c r="AE22" s="15">
        <f>SUM(AE23+AE24)</f>
        <v>0</v>
      </c>
      <c r="AF22" s="15">
        <f t="shared" si="36"/>
        <v>213.38</v>
      </c>
      <c r="AG22" s="15">
        <f>SUM(AG23+AG24)</f>
        <v>218.72</v>
      </c>
      <c r="AH22" s="15">
        <f t="shared" si="36"/>
        <v>0</v>
      </c>
      <c r="AI22" s="15">
        <f t="shared" si="36"/>
        <v>0</v>
      </c>
      <c r="AJ22" s="15">
        <f t="shared" si="36"/>
        <v>0</v>
      </c>
      <c r="AK22" s="15">
        <f t="shared" si="2"/>
        <v>218.72</v>
      </c>
      <c r="AL22" s="15">
        <f>SUM(AL23+AL24)</f>
        <v>243.44252462302055</v>
      </c>
      <c r="AM22" s="15">
        <f t="shared" si="36"/>
        <v>0</v>
      </c>
      <c r="AN22" s="15">
        <f t="shared" si="36"/>
        <v>0</v>
      </c>
      <c r="AO22" s="15">
        <f>SUM(AO23+AO24)</f>
        <v>0</v>
      </c>
      <c r="AP22" s="15">
        <f t="shared" si="36"/>
        <v>243.44252462302055</v>
      </c>
      <c r="AQ22" s="15">
        <f t="shared" si="36"/>
        <v>271.36123079144426</v>
      </c>
      <c r="AR22" s="15">
        <f t="shared" si="36"/>
        <v>0</v>
      </c>
      <c r="AS22" s="15">
        <f t="shared" si="36"/>
        <v>0</v>
      </c>
      <c r="AT22" s="15">
        <f t="shared" si="36"/>
        <v>0</v>
      </c>
      <c r="AU22" s="15">
        <f t="shared" si="36"/>
        <v>271.36123079144426</v>
      </c>
      <c r="AV22" s="15">
        <f t="shared" si="36"/>
        <v>302.8934207543542</v>
      </c>
      <c r="AW22" s="15">
        <f t="shared" si="36"/>
        <v>0</v>
      </c>
      <c r="AX22" s="15">
        <f t="shared" si="36"/>
        <v>0</v>
      </c>
      <c r="AY22" s="15">
        <f t="shared" si="36"/>
        <v>0</v>
      </c>
      <c r="AZ22" s="15">
        <f t="shared" si="36"/>
        <v>302.8934207543542</v>
      </c>
      <c r="BA22" s="15">
        <f t="shared" si="36"/>
        <v>338.5112395425962</v>
      </c>
      <c r="BB22" s="15">
        <f t="shared" si="36"/>
        <v>0</v>
      </c>
      <c r="BC22" s="15">
        <f t="shared" si="36"/>
        <v>0</v>
      </c>
      <c r="BD22" s="15">
        <f t="shared" si="36"/>
        <v>0</v>
      </c>
      <c r="BE22" s="15">
        <f t="shared" si="36"/>
        <v>338.5112395425962</v>
      </c>
      <c r="BF22" s="15">
        <f t="shared" si="36"/>
        <v>378.7489202365343</v>
      </c>
      <c r="BG22" s="15">
        <f t="shared" si="36"/>
        <v>0</v>
      </c>
      <c r="BH22" s="15">
        <f t="shared" si="36"/>
        <v>0</v>
      </c>
      <c r="BI22" s="15">
        <f>SUM(BI23+BI24)</f>
        <v>0</v>
      </c>
      <c r="BJ22" s="15">
        <f t="shared" si="36"/>
        <v>378.7489202365343</v>
      </c>
      <c r="BK22" s="15">
        <f t="shared" si="36"/>
        <v>424.21099037602454</v>
      </c>
      <c r="BL22" s="15">
        <f t="shared" si="36"/>
        <v>0</v>
      </c>
      <c r="BM22" s="15">
        <f t="shared" si="36"/>
        <v>0</v>
      </c>
      <c r="BN22" s="15">
        <f>SUM(BN23+BN24)</f>
        <v>0</v>
      </c>
      <c r="BO22" s="15">
        <f t="shared" si="36"/>
        <v>424.21099037602454</v>
      </c>
      <c r="BP22" s="17">
        <v>0.1181832424431883</v>
      </c>
      <c r="BQ22" s="18"/>
    </row>
    <row r="23" spans="1:69" s="19" customFormat="1" ht="30">
      <c r="A23" s="21">
        <v>2048</v>
      </c>
      <c r="B23" s="2" t="s">
        <v>28</v>
      </c>
      <c r="C23" s="27">
        <v>11.73</v>
      </c>
      <c r="D23" s="32">
        <v>0</v>
      </c>
      <c r="E23" s="32">
        <v>0</v>
      </c>
      <c r="F23" s="32">
        <v>0</v>
      </c>
      <c r="G23" s="29">
        <f aca="true" t="shared" si="37" ref="G23:G29">C23+D23</f>
        <v>11.73</v>
      </c>
      <c r="H23" s="31">
        <v>11.73</v>
      </c>
      <c r="I23" s="32">
        <v>0</v>
      </c>
      <c r="J23" s="32">
        <v>0</v>
      </c>
      <c r="K23" s="32">
        <v>0</v>
      </c>
      <c r="L23" s="15">
        <f t="shared" si="22"/>
        <v>11.73</v>
      </c>
      <c r="M23" s="26">
        <v>12</v>
      </c>
      <c r="N23" s="26">
        <v>0</v>
      </c>
      <c r="O23" s="26">
        <v>0</v>
      </c>
      <c r="P23" s="32">
        <v>0</v>
      </c>
      <c r="Q23" s="25">
        <f t="shared" si="19"/>
        <v>12</v>
      </c>
      <c r="R23" s="26">
        <v>12</v>
      </c>
      <c r="S23" s="26">
        <v>0</v>
      </c>
      <c r="T23" s="26">
        <v>0</v>
      </c>
      <c r="U23" s="32">
        <v>0</v>
      </c>
      <c r="V23" s="15">
        <f t="shared" si="9"/>
        <v>12</v>
      </c>
      <c r="W23" s="26">
        <v>12</v>
      </c>
      <c r="X23" s="26">
        <v>0</v>
      </c>
      <c r="Y23" s="26">
        <v>0</v>
      </c>
      <c r="Z23" s="32">
        <v>0</v>
      </c>
      <c r="AA23" s="15">
        <f t="shared" si="10"/>
        <v>12</v>
      </c>
      <c r="AB23" s="1">
        <v>12</v>
      </c>
      <c r="AC23" s="26">
        <v>0</v>
      </c>
      <c r="AD23" s="26">
        <v>0</v>
      </c>
      <c r="AE23" s="32">
        <v>0</v>
      </c>
      <c r="AF23" s="15">
        <f t="shared" si="11"/>
        <v>12</v>
      </c>
      <c r="AG23" s="1">
        <v>12</v>
      </c>
      <c r="AH23" s="26">
        <v>0</v>
      </c>
      <c r="AI23" s="26">
        <v>0</v>
      </c>
      <c r="AJ23" s="32">
        <v>0</v>
      </c>
      <c r="AK23" s="15">
        <f t="shared" si="2"/>
        <v>12</v>
      </c>
      <c r="AL23" s="26">
        <f>AG23+(AG23*BP23)</f>
        <v>12.048864191032141</v>
      </c>
      <c r="AM23" s="26">
        <f>AH23+(AH23*BQ23)</f>
        <v>0</v>
      </c>
      <c r="AN23" s="26">
        <f aca="true" t="shared" si="38" ref="AN23:AN29">AI23+(AI23*BQ23)</f>
        <v>0</v>
      </c>
      <c r="AO23" s="32">
        <v>0</v>
      </c>
      <c r="AP23" s="15">
        <f t="shared" si="3"/>
        <v>12.048864191032141</v>
      </c>
      <c r="AQ23" s="26">
        <f>AL23+(AL23*BP23)</f>
        <v>12.097927357828052</v>
      </c>
      <c r="AR23" s="26">
        <f>AM23+(AM23*BQ23)</f>
        <v>0</v>
      </c>
      <c r="AS23" s="26">
        <f aca="true" t="shared" si="39" ref="AS23:AS29">AN23+(AN23*BQ23)</f>
        <v>0</v>
      </c>
      <c r="AT23" s="32">
        <v>0</v>
      </c>
      <c r="AU23" s="15">
        <f t="shared" si="4"/>
        <v>12.097927357828052</v>
      </c>
      <c r="AV23" s="26">
        <f>AQ23+(AQ23*BP23)</f>
        <v>12.147190310620209</v>
      </c>
      <c r="AW23" s="26">
        <f>AR23+(AR23*BQ23)</f>
        <v>0</v>
      </c>
      <c r="AX23" s="26">
        <f aca="true" t="shared" si="40" ref="AX23:AX29">AS23+(AS23*BQ23)</f>
        <v>0</v>
      </c>
      <c r="AY23" s="26"/>
      <c r="AZ23" s="15">
        <f t="shared" si="15"/>
        <v>12.147190310620209</v>
      </c>
      <c r="BA23" s="26">
        <f>AV23+(AV23*BP23)</f>
        <v>12.19665386294037</v>
      </c>
      <c r="BB23" s="26">
        <f>AW23+(AW23*BQ23)</f>
        <v>0</v>
      </c>
      <c r="BC23" s="26">
        <f aca="true" t="shared" si="41" ref="BC23:BC29">AX23+(AX23*BQ23)</f>
        <v>0</v>
      </c>
      <c r="BD23" s="32">
        <v>0</v>
      </c>
      <c r="BE23" s="15">
        <f t="shared" si="6"/>
        <v>12.19665386294037</v>
      </c>
      <c r="BF23" s="26">
        <f aca="true" t="shared" si="42" ref="BF23:BG29">BA23+(BA23*BP23)</f>
        <v>12.246318831633005</v>
      </c>
      <c r="BG23" s="26">
        <f t="shared" si="42"/>
        <v>0</v>
      </c>
      <c r="BH23" s="26">
        <f aca="true" t="shared" si="43" ref="BH23:BH29">BC23+(BC23*BQ23)</f>
        <v>0</v>
      </c>
      <c r="BI23" s="32">
        <v>0</v>
      </c>
      <c r="BJ23" s="15">
        <f t="shared" si="7"/>
        <v>12.246318831633005</v>
      </c>
      <c r="BK23" s="26">
        <f aca="true" t="shared" si="44" ref="BK23:BL29">BF23+(BF23*BP23)</f>
        <v>12.29618603686879</v>
      </c>
      <c r="BL23" s="26">
        <f t="shared" si="44"/>
        <v>0</v>
      </c>
      <c r="BM23" s="26">
        <f aca="true" t="shared" si="45" ref="BM23:BM29">BH23+(BH23*BQ23)</f>
        <v>0</v>
      </c>
      <c r="BN23" s="26">
        <f aca="true" t="shared" si="46" ref="BN23:BN29">BI23+(BI23*BU23)</f>
        <v>0</v>
      </c>
      <c r="BO23" s="15">
        <f t="shared" si="8"/>
        <v>12.29618603686879</v>
      </c>
      <c r="BP23" s="20">
        <v>0.004072015919345091</v>
      </c>
      <c r="BQ23" s="18"/>
    </row>
    <row r="24" spans="1:69" s="19" customFormat="1" ht="15">
      <c r="A24" s="21">
        <v>2049</v>
      </c>
      <c r="B24" s="2" t="s">
        <v>237</v>
      </c>
      <c r="C24" s="27">
        <v>117.74</v>
      </c>
      <c r="D24" s="32">
        <v>0</v>
      </c>
      <c r="E24" s="32">
        <v>0</v>
      </c>
      <c r="F24" s="32">
        <v>0</v>
      </c>
      <c r="G24" s="29">
        <f t="shared" si="37"/>
        <v>117.74</v>
      </c>
      <c r="H24" s="31">
        <v>142.64</v>
      </c>
      <c r="I24" s="32">
        <v>0</v>
      </c>
      <c r="J24" s="32">
        <v>0</v>
      </c>
      <c r="K24" s="32">
        <v>0</v>
      </c>
      <c r="L24" s="15">
        <f t="shared" si="22"/>
        <v>142.64</v>
      </c>
      <c r="M24" s="26">
        <v>154.43</v>
      </c>
      <c r="N24" s="26">
        <v>0</v>
      </c>
      <c r="O24" s="26">
        <v>0</v>
      </c>
      <c r="P24" s="32">
        <v>0</v>
      </c>
      <c r="Q24" s="25">
        <f t="shared" si="19"/>
        <v>154.43</v>
      </c>
      <c r="R24" s="26">
        <f>R25+R27+R28</f>
        <v>186.76999999999998</v>
      </c>
      <c r="S24" s="26">
        <v>0</v>
      </c>
      <c r="T24" s="26">
        <v>0</v>
      </c>
      <c r="U24" s="32">
        <v>0</v>
      </c>
      <c r="V24" s="15">
        <f t="shared" si="9"/>
        <v>186.76999999999998</v>
      </c>
      <c r="W24" s="26">
        <v>190.83</v>
      </c>
      <c r="X24" s="26">
        <v>0</v>
      </c>
      <c r="Y24" s="26">
        <v>0</v>
      </c>
      <c r="Z24" s="32">
        <v>0</v>
      </c>
      <c r="AA24" s="15">
        <f t="shared" si="10"/>
        <v>190.83</v>
      </c>
      <c r="AB24" s="1">
        <v>201.38</v>
      </c>
      <c r="AC24" s="26">
        <v>0</v>
      </c>
      <c r="AD24" s="26">
        <v>0</v>
      </c>
      <c r="AE24" s="32">
        <v>0</v>
      </c>
      <c r="AF24" s="15">
        <f t="shared" si="11"/>
        <v>201.38</v>
      </c>
      <c r="AG24" s="1">
        <v>206.72</v>
      </c>
      <c r="AH24" s="26">
        <v>0</v>
      </c>
      <c r="AI24" s="26">
        <v>0</v>
      </c>
      <c r="AJ24" s="32">
        <v>0</v>
      </c>
      <c r="AK24" s="15">
        <f t="shared" si="2"/>
        <v>206.72</v>
      </c>
      <c r="AL24" s="26">
        <f>AL25+AL27+AL28</f>
        <v>231.3936604319884</v>
      </c>
      <c r="AM24" s="26">
        <f aca="true" t="shared" si="47" ref="AM24:AM29">AH24+(AH24*BQ24)</f>
        <v>0</v>
      </c>
      <c r="AN24" s="26">
        <f t="shared" si="38"/>
        <v>0</v>
      </c>
      <c r="AO24" s="32">
        <v>0</v>
      </c>
      <c r="AP24" s="15">
        <f t="shared" si="3"/>
        <v>231.3936604319884</v>
      </c>
      <c r="AQ24" s="26">
        <f>AQ25+AQ27+AQ28</f>
        <v>259.2633034336162</v>
      </c>
      <c r="AR24" s="26">
        <f aca="true" t="shared" si="48" ref="AR24:AR29">AM24+(AM24*BQ24)</f>
        <v>0</v>
      </c>
      <c r="AS24" s="26">
        <f t="shared" si="39"/>
        <v>0</v>
      </c>
      <c r="AT24" s="32">
        <v>0</v>
      </c>
      <c r="AU24" s="15">
        <f t="shared" si="4"/>
        <v>259.2633034336162</v>
      </c>
      <c r="AV24" s="26">
        <f>AV25+AV27+AV28</f>
        <v>290.746230443734</v>
      </c>
      <c r="AW24" s="26">
        <f aca="true" t="shared" si="49" ref="AW24:AW29">AR24+(AR24*BQ24)</f>
        <v>0</v>
      </c>
      <c r="AX24" s="26">
        <f t="shared" si="40"/>
        <v>0</v>
      </c>
      <c r="AY24" s="26"/>
      <c r="AZ24" s="15">
        <f t="shared" si="15"/>
        <v>290.746230443734</v>
      </c>
      <c r="BA24" s="26">
        <f>BA25+BA27+BA28</f>
        <v>326.3145856796558</v>
      </c>
      <c r="BB24" s="26">
        <f aca="true" t="shared" si="50" ref="BB24:BB29">AW24+(AW24*BQ24)</f>
        <v>0</v>
      </c>
      <c r="BC24" s="26">
        <f t="shared" si="41"/>
        <v>0</v>
      </c>
      <c r="BD24" s="32">
        <v>0</v>
      </c>
      <c r="BE24" s="15">
        <f t="shared" si="6"/>
        <v>326.3145856796558</v>
      </c>
      <c r="BF24" s="26">
        <f>BF25+BF27+BF28</f>
        <v>366.50260140490127</v>
      </c>
      <c r="BG24" s="26">
        <f t="shared" si="42"/>
        <v>0</v>
      </c>
      <c r="BH24" s="26">
        <f t="shared" si="43"/>
        <v>0</v>
      </c>
      <c r="BI24" s="32">
        <v>0</v>
      </c>
      <c r="BJ24" s="15">
        <f t="shared" si="7"/>
        <v>366.50260140490127</v>
      </c>
      <c r="BK24" s="26">
        <f>BK25+BK27+BK28</f>
        <v>411.91480433915575</v>
      </c>
      <c r="BL24" s="26">
        <f t="shared" si="44"/>
        <v>0</v>
      </c>
      <c r="BM24" s="26">
        <f t="shared" si="45"/>
        <v>0</v>
      </c>
      <c r="BN24" s="26">
        <f t="shared" si="46"/>
        <v>0</v>
      </c>
      <c r="BO24" s="15">
        <f t="shared" si="8"/>
        <v>411.91480433915575</v>
      </c>
      <c r="BP24" s="20">
        <v>0.12227020455247001</v>
      </c>
      <c r="BQ24" s="18"/>
    </row>
    <row r="25" spans="1:69" s="19" customFormat="1" ht="15">
      <c r="A25" s="33" t="s">
        <v>29</v>
      </c>
      <c r="B25" s="2" t="s">
        <v>164</v>
      </c>
      <c r="C25" s="27">
        <v>70.98</v>
      </c>
      <c r="D25" s="32">
        <v>0</v>
      </c>
      <c r="E25" s="32">
        <v>0</v>
      </c>
      <c r="F25" s="32">
        <v>0</v>
      </c>
      <c r="G25" s="29">
        <f t="shared" si="37"/>
        <v>70.98</v>
      </c>
      <c r="H25" s="31">
        <v>92.6</v>
      </c>
      <c r="I25" s="32">
        <v>0</v>
      </c>
      <c r="J25" s="32">
        <v>0</v>
      </c>
      <c r="K25" s="32">
        <v>0</v>
      </c>
      <c r="L25" s="15">
        <f t="shared" si="22"/>
        <v>92.6</v>
      </c>
      <c r="M25" s="26">
        <v>102.81</v>
      </c>
      <c r="N25" s="26">
        <v>0</v>
      </c>
      <c r="O25" s="26">
        <v>0</v>
      </c>
      <c r="P25" s="32">
        <v>0</v>
      </c>
      <c r="Q25" s="25">
        <f t="shared" si="19"/>
        <v>102.81</v>
      </c>
      <c r="R25" s="26">
        <v>129.32</v>
      </c>
      <c r="S25" s="26">
        <v>0</v>
      </c>
      <c r="T25" s="26">
        <v>0</v>
      </c>
      <c r="U25" s="32">
        <v>0</v>
      </c>
      <c r="V25" s="15">
        <f t="shared" si="9"/>
        <v>129.32</v>
      </c>
      <c r="W25" s="26">
        <v>137.18</v>
      </c>
      <c r="X25" s="26">
        <v>0</v>
      </c>
      <c r="Y25" s="26">
        <v>0</v>
      </c>
      <c r="Z25" s="32">
        <v>0</v>
      </c>
      <c r="AA25" s="15">
        <f t="shared" si="10"/>
        <v>137.18</v>
      </c>
      <c r="AB25" s="1">
        <v>146.81</v>
      </c>
      <c r="AC25" s="26">
        <v>0</v>
      </c>
      <c r="AD25" s="26">
        <v>0</v>
      </c>
      <c r="AE25" s="32">
        <v>0</v>
      </c>
      <c r="AF25" s="15">
        <f t="shared" si="11"/>
        <v>146.81</v>
      </c>
      <c r="AG25" s="1">
        <v>154.09</v>
      </c>
      <c r="AH25" s="26">
        <v>0</v>
      </c>
      <c r="AI25" s="26">
        <v>0</v>
      </c>
      <c r="AJ25" s="32">
        <v>0</v>
      </c>
      <c r="AK25" s="15">
        <f t="shared" si="2"/>
        <v>154.09</v>
      </c>
      <c r="AL25" s="26">
        <f>AG25+(AG25*BP25)</f>
        <v>174.82853434568105</v>
      </c>
      <c r="AM25" s="26">
        <f t="shared" si="47"/>
        <v>0</v>
      </c>
      <c r="AN25" s="26">
        <f t="shared" si="38"/>
        <v>0</v>
      </c>
      <c r="AO25" s="32">
        <v>0</v>
      </c>
      <c r="AP25" s="15">
        <f t="shared" si="3"/>
        <v>174.82853434568105</v>
      </c>
      <c r="AQ25" s="26">
        <f>AL25+(AL25*BP25)</f>
        <v>198.35820897825283</v>
      </c>
      <c r="AR25" s="26">
        <f t="shared" si="48"/>
        <v>0</v>
      </c>
      <c r="AS25" s="26">
        <f t="shared" si="39"/>
        <v>0</v>
      </c>
      <c r="AT25" s="32">
        <v>0</v>
      </c>
      <c r="AU25" s="15">
        <f t="shared" si="4"/>
        <v>198.35820897825283</v>
      </c>
      <c r="AV25" s="26">
        <f>AQ25+(AQ25*BP25)</f>
        <v>225.05467552146314</v>
      </c>
      <c r="AW25" s="26">
        <f t="shared" si="49"/>
        <v>0</v>
      </c>
      <c r="AX25" s="26">
        <f t="shared" si="40"/>
        <v>0</v>
      </c>
      <c r="AY25" s="26"/>
      <c r="AZ25" s="15">
        <f t="shared" si="15"/>
        <v>225.05467552146314</v>
      </c>
      <c r="BA25" s="26">
        <f>AV25+(AV25*BP25)</f>
        <v>255.3441434814733</v>
      </c>
      <c r="BB25" s="26">
        <f t="shared" si="50"/>
        <v>0</v>
      </c>
      <c r="BC25" s="26">
        <f t="shared" si="41"/>
        <v>0</v>
      </c>
      <c r="BD25" s="32">
        <v>0</v>
      </c>
      <c r="BE25" s="15">
        <f t="shared" si="6"/>
        <v>255.3441434814733</v>
      </c>
      <c r="BF25" s="26">
        <f t="shared" si="42"/>
        <v>289.71018468829425</v>
      </c>
      <c r="BG25" s="26">
        <f t="shared" si="42"/>
        <v>0</v>
      </c>
      <c r="BH25" s="26">
        <f t="shared" si="43"/>
        <v>0</v>
      </c>
      <c r="BI25" s="32">
        <v>0</v>
      </c>
      <c r="BJ25" s="15">
        <f t="shared" si="7"/>
        <v>289.71018468829425</v>
      </c>
      <c r="BK25" s="26">
        <f t="shared" si="44"/>
        <v>328.7014535276205</v>
      </c>
      <c r="BL25" s="26">
        <f t="shared" si="44"/>
        <v>0</v>
      </c>
      <c r="BM25" s="26">
        <f t="shared" si="45"/>
        <v>0</v>
      </c>
      <c r="BN25" s="26">
        <f t="shared" si="46"/>
        <v>0</v>
      </c>
      <c r="BO25" s="15">
        <f t="shared" si="8"/>
        <v>328.7014535276205</v>
      </c>
      <c r="BP25" s="20">
        <v>0.13458715261003987</v>
      </c>
      <c r="BQ25" s="18"/>
    </row>
    <row r="26" spans="1:69" s="19" customFormat="1" ht="15">
      <c r="A26" s="21">
        <v>101</v>
      </c>
      <c r="B26" s="2" t="s">
        <v>165</v>
      </c>
      <c r="C26" s="22">
        <v>49.98</v>
      </c>
      <c r="D26" s="26">
        <v>0</v>
      </c>
      <c r="E26" s="26">
        <v>0</v>
      </c>
      <c r="F26" s="26">
        <v>0</v>
      </c>
      <c r="G26" s="15">
        <f t="shared" si="37"/>
        <v>49.98</v>
      </c>
      <c r="H26" s="1">
        <v>69.84</v>
      </c>
      <c r="I26" s="32">
        <v>0</v>
      </c>
      <c r="J26" s="32">
        <v>0</v>
      </c>
      <c r="K26" s="26">
        <v>0</v>
      </c>
      <c r="L26" s="15">
        <f t="shared" si="22"/>
        <v>69.84</v>
      </c>
      <c r="M26" s="26">
        <v>77.81</v>
      </c>
      <c r="N26" s="26">
        <v>0</v>
      </c>
      <c r="O26" s="26">
        <v>0</v>
      </c>
      <c r="P26" s="26">
        <v>0</v>
      </c>
      <c r="Q26" s="25">
        <f t="shared" si="19"/>
        <v>77.81</v>
      </c>
      <c r="R26" s="26">
        <v>100.27</v>
      </c>
      <c r="S26" s="26">
        <v>0</v>
      </c>
      <c r="T26" s="26">
        <v>0</v>
      </c>
      <c r="U26" s="26">
        <v>0</v>
      </c>
      <c r="V26" s="15">
        <f t="shared" si="9"/>
        <v>100.27</v>
      </c>
      <c r="W26" s="26">
        <v>97.59</v>
      </c>
      <c r="X26" s="26">
        <v>0</v>
      </c>
      <c r="Y26" s="26">
        <v>0</v>
      </c>
      <c r="Z26" s="26">
        <v>0</v>
      </c>
      <c r="AA26" s="15">
        <f t="shared" si="10"/>
        <v>97.59</v>
      </c>
      <c r="AB26" s="1">
        <v>107.59</v>
      </c>
      <c r="AC26" s="26">
        <v>0</v>
      </c>
      <c r="AD26" s="26">
        <v>0</v>
      </c>
      <c r="AE26" s="26">
        <v>0</v>
      </c>
      <c r="AF26" s="15">
        <f t="shared" si="11"/>
        <v>107.59</v>
      </c>
      <c r="AG26" s="1">
        <v>112.07</v>
      </c>
      <c r="AH26" s="26">
        <v>0</v>
      </c>
      <c r="AI26" s="26">
        <v>0</v>
      </c>
      <c r="AJ26" s="26">
        <v>0</v>
      </c>
      <c r="AK26" s="15">
        <f t="shared" si="2"/>
        <v>112.07</v>
      </c>
      <c r="AL26" s="26">
        <f>AG26+(AG26*BP26)</f>
        <v>127.0520508303464</v>
      </c>
      <c r="AM26" s="26">
        <f t="shared" si="47"/>
        <v>0</v>
      </c>
      <c r="AN26" s="26">
        <f t="shared" si="38"/>
        <v>0</v>
      </c>
      <c r="AO26" s="26">
        <v>0</v>
      </c>
      <c r="AP26" s="15">
        <f t="shared" si="3"/>
        <v>127.0520508303464</v>
      </c>
      <c r="AQ26" s="26">
        <f>AL26+(AL26*BP26)</f>
        <v>144.03697350046335</v>
      </c>
      <c r="AR26" s="26">
        <f t="shared" si="48"/>
        <v>0</v>
      </c>
      <c r="AS26" s="26">
        <f t="shared" si="39"/>
        <v>0</v>
      </c>
      <c r="AT26" s="26">
        <v>0</v>
      </c>
      <c r="AU26" s="15">
        <f t="shared" si="4"/>
        <v>144.03697350046335</v>
      </c>
      <c r="AV26" s="26">
        <f>AQ26+(AQ26*BP26)</f>
        <v>163.29252144757857</v>
      </c>
      <c r="AW26" s="26">
        <f t="shared" si="49"/>
        <v>0</v>
      </c>
      <c r="AX26" s="26">
        <f t="shared" si="40"/>
        <v>0</v>
      </c>
      <c r="AY26" s="26"/>
      <c r="AZ26" s="15">
        <f t="shared" si="15"/>
        <v>163.29252144757857</v>
      </c>
      <c r="BA26" s="26">
        <f>AV26+(AV26*BP26)</f>
        <v>185.1222426623823</v>
      </c>
      <c r="BB26" s="26">
        <f t="shared" si="50"/>
        <v>0</v>
      </c>
      <c r="BC26" s="26">
        <f t="shared" si="41"/>
        <v>0</v>
      </c>
      <c r="BD26" s="26">
        <v>0</v>
      </c>
      <c r="BE26" s="15">
        <f t="shared" si="6"/>
        <v>185.1222426623823</v>
      </c>
      <c r="BF26" s="26">
        <f t="shared" si="42"/>
        <v>209.87026487524508</v>
      </c>
      <c r="BG26" s="26">
        <f t="shared" si="42"/>
        <v>0</v>
      </c>
      <c r="BH26" s="26">
        <f t="shared" si="43"/>
        <v>0</v>
      </c>
      <c r="BI26" s="26">
        <v>0</v>
      </c>
      <c r="BJ26" s="15">
        <f t="shared" si="7"/>
        <v>209.87026487524508</v>
      </c>
      <c r="BK26" s="26">
        <f t="shared" si="44"/>
        <v>237.92672044889716</v>
      </c>
      <c r="BL26" s="26">
        <f t="shared" si="44"/>
        <v>0</v>
      </c>
      <c r="BM26" s="26">
        <f t="shared" si="45"/>
        <v>0</v>
      </c>
      <c r="BN26" s="26">
        <f t="shared" si="46"/>
        <v>0</v>
      </c>
      <c r="BO26" s="15">
        <f t="shared" si="8"/>
        <v>237.92672044889716</v>
      </c>
      <c r="BP26" s="20">
        <v>0.13368475801147867</v>
      </c>
      <c r="BQ26" s="18"/>
    </row>
    <row r="27" spans="1:69" s="19" customFormat="1" ht="30">
      <c r="A27" s="33" t="s">
        <v>30</v>
      </c>
      <c r="B27" s="2" t="s">
        <v>166</v>
      </c>
      <c r="C27" s="22">
        <v>22.89</v>
      </c>
      <c r="D27" s="26">
        <v>0</v>
      </c>
      <c r="E27" s="26">
        <v>0</v>
      </c>
      <c r="F27" s="26">
        <v>0</v>
      </c>
      <c r="G27" s="15">
        <f t="shared" si="37"/>
        <v>22.89</v>
      </c>
      <c r="H27" s="1">
        <v>27</v>
      </c>
      <c r="I27" s="32">
        <v>0</v>
      </c>
      <c r="J27" s="32">
        <v>0</v>
      </c>
      <c r="K27" s="26">
        <v>0</v>
      </c>
      <c r="L27" s="15">
        <f t="shared" si="22"/>
        <v>27</v>
      </c>
      <c r="M27" s="26">
        <v>30.14</v>
      </c>
      <c r="N27" s="26">
        <v>0</v>
      </c>
      <c r="O27" s="26">
        <v>0</v>
      </c>
      <c r="P27" s="26">
        <v>0</v>
      </c>
      <c r="Q27" s="25">
        <f t="shared" si="19"/>
        <v>30.14</v>
      </c>
      <c r="R27" s="26">
        <v>37.66</v>
      </c>
      <c r="S27" s="26">
        <v>0</v>
      </c>
      <c r="T27" s="26">
        <v>0</v>
      </c>
      <c r="U27" s="26">
        <v>0</v>
      </c>
      <c r="V27" s="15">
        <f t="shared" si="9"/>
        <v>37.66</v>
      </c>
      <c r="W27" s="26">
        <v>43.57</v>
      </c>
      <c r="X27" s="26">
        <v>0</v>
      </c>
      <c r="Y27" s="26">
        <v>0</v>
      </c>
      <c r="Z27" s="26">
        <v>0</v>
      </c>
      <c r="AA27" s="15">
        <f t="shared" si="10"/>
        <v>43.57</v>
      </c>
      <c r="AB27" s="1">
        <v>40.95</v>
      </c>
      <c r="AC27" s="26">
        <v>0</v>
      </c>
      <c r="AD27" s="26">
        <v>0</v>
      </c>
      <c r="AE27" s="26">
        <v>0</v>
      </c>
      <c r="AF27" s="15">
        <f t="shared" si="11"/>
        <v>40.95</v>
      </c>
      <c r="AG27" s="1">
        <v>38.25</v>
      </c>
      <c r="AH27" s="26">
        <v>0</v>
      </c>
      <c r="AI27" s="26">
        <v>0</v>
      </c>
      <c r="AJ27" s="26">
        <v>0</v>
      </c>
      <c r="AK27" s="15">
        <f t="shared" si="2"/>
        <v>38.25</v>
      </c>
      <c r="AL27" s="26">
        <f>AG27+(AG27*BP27)</f>
        <v>42.18512608630734</v>
      </c>
      <c r="AM27" s="26">
        <f t="shared" si="47"/>
        <v>0</v>
      </c>
      <c r="AN27" s="26">
        <f t="shared" si="38"/>
        <v>0</v>
      </c>
      <c r="AO27" s="26">
        <v>0</v>
      </c>
      <c r="AP27" s="15">
        <f t="shared" si="3"/>
        <v>42.18512608630734</v>
      </c>
      <c r="AQ27" s="26">
        <f>AL27+(AL27*BP27)</f>
        <v>46.52509445536335</v>
      </c>
      <c r="AR27" s="26">
        <f t="shared" si="48"/>
        <v>0</v>
      </c>
      <c r="AS27" s="26">
        <f t="shared" si="39"/>
        <v>0</v>
      </c>
      <c r="AT27" s="26">
        <v>0</v>
      </c>
      <c r="AU27" s="15">
        <f t="shared" si="4"/>
        <v>46.52509445536335</v>
      </c>
      <c r="AV27" s="26">
        <f>AQ27+(AQ27*BP27)</f>
        <v>51.31155492227089</v>
      </c>
      <c r="AW27" s="26">
        <f t="shared" si="49"/>
        <v>0</v>
      </c>
      <c r="AX27" s="26">
        <f t="shared" si="40"/>
        <v>0</v>
      </c>
      <c r="AY27" s="26"/>
      <c r="AZ27" s="15">
        <f t="shared" si="15"/>
        <v>51.31155492227089</v>
      </c>
      <c r="BA27" s="26">
        <f>AV27+(AV27*BP27)</f>
        <v>56.59044219818253</v>
      </c>
      <c r="BB27" s="26">
        <f t="shared" si="50"/>
        <v>0</v>
      </c>
      <c r="BC27" s="26">
        <f t="shared" si="41"/>
        <v>0</v>
      </c>
      <c r="BD27" s="26">
        <v>0</v>
      </c>
      <c r="BE27" s="15">
        <f t="shared" si="6"/>
        <v>56.59044219818253</v>
      </c>
      <c r="BF27" s="26">
        <f t="shared" si="42"/>
        <v>62.412416716607</v>
      </c>
      <c r="BG27" s="26">
        <f t="shared" si="42"/>
        <v>0</v>
      </c>
      <c r="BH27" s="26">
        <f t="shared" si="43"/>
        <v>0</v>
      </c>
      <c r="BI27" s="26">
        <v>0</v>
      </c>
      <c r="BJ27" s="15">
        <f t="shared" si="7"/>
        <v>62.412416716607</v>
      </c>
      <c r="BK27" s="26">
        <f t="shared" si="44"/>
        <v>68.83335081153523</v>
      </c>
      <c r="BL27" s="26">
        <f t="shared" si="44"/>
        <v>0</v>
      </c>
      <c r="BM27" s="26">
        <f t="shared" si="45"/>
        <v>0</v>
      </c>
      <c r="BN27" s="26">
        <f t="shared" si="46"/>
        <v>0</v>
      </c>
      <c r="BO27" s="15">
        <f t="shared" si="8"/>
        <v>68.83335081153523</v>
      </c>
      <c r="BP27" s="20">
        <v>0.10287911336751222</v>
      </c>
      <c r="BQ27" s="18"/>
    </row>
    <row r="28" spans="1:69" s="19" customFormat="1" ht="45">
      <c r="A28" s="33" t="s">
        <v>31</v>
      </c>
      <c r="B28" s="2" t="s">
        <v>213</v>
      </c>
      <c r="C28" s="22">
        <v>23.87</v>
      </c>
      <c r="D28" s="26">
        <v>0</v>
      </c>
      <c r="E28" s="26">
        <v>0</v>
      </c>
      <c r="F28" s="26">
        <v>0</v>
      </c>
      <c r="G28" s="15">
        <f t="shared" si="37"/>
        <v>23.87</v>
      </c>
      <c r="H28" s="1">
        <v>23.04</v>
      </c>
      <c r="I28" s="32">
        <v>0</v>
      </c>
      <c r="J28" s="32">
        <v>0</v>
      </c>
      <c r="K28" s="26">
        <v>0</v>
      </c>
      <c r="L28" s="15">
        <f t="shared" si="22"/>
        <v>23.04</v>
      </c>
      <c r="M28" s="26">
        <v>21.48</v>
      </c>
      <c r="N28" s="26">
        <v>0</v>
      </c>
      <c r="O28" s="26">
        <v>0</v>
      </c>
      <c r="P28" s="26">
        <v>0</v>
      </c>
      <c r="Q28" s="25">
        <f t="shared" si="19"/>
        <v>21.48</v>
      </c>
      <c r="R28" s="26">
        <v>19.79</v>
      </c>
      <c r="S28" s="26">
        <v>0</v>
      </c>
      <c r="T28" s="26">
        <v>0</v>
      </c>
      <c r="U28" s="26">
        <v>0</v>
      </c>
      <c r="V28" s="15">
        <f t="shared" si="9"/>
        <v>19.79</v>
      </c>
      <c r="W28" s="26">
        <v>10.08</v>
      </c>
      <c r="X28" s="26">
        <v>0</v>
      </c>
      <c r="Y28" s="26">
        <v>0</v>
      </c>
      <c r="Z28" s="26">
        <v>0</v>
      </c>
      <c r="AA28" s="15">
        <f t="shared" si="10"/>
        <v>10.08</v>
      </c>
      <c r="AB28" s="1">
        <v>13.62</v>
      </c>
      <c r="AC28" s="26">
        <v>0</v>
      </c>
      <c r="AD28" s="26">
        <v>0</v>
      </c>
      <c r="AE28" s="26">
        <v>0</v>
      </c>
      <c r="AF28" s="15">
        <f t="shared" si="11"/>
        <v>13.62</v>
      </c>
      <c r="AG28" s="1">
        <v>14.38</v>
      </c>
      <c r="AH28" s="26">
        <v>0</v>
      </c>
      <c r="AI28" s="26">
        <v>0</v>
      </c>
      <c r="AJ28" s="26">
        <v>0</v>
      </c>
      <c r="AK28" s="15">
        <f t="shared" si="2"/>
        <v>14.38</v>
      </c>
      <c r="AL28" s="26">
        <f>AG28+(AG28*BP28)</f>
        <v>14.38</v>
      </c>
      <c r="AM28" s="26">
        <f t="shared" si="47"/>
        <v>0</v>
      </c>
      <c r="AN28" s="26">
        <f t="shared" si="38"/>
        <v>0</v>
      </c>
      <c r="AO28" s="26">
        <v>0</v>
      </c>
      <c r="AP28" s="15">
        <f t="shared" si="3"/>
        <v>14.38</v>
      </c>
      <c r="AQ28" s="26">
        <f>AL28+(AL28*BP28)</f>
        <v>14.38</v>
      </c>
      <c r="AR28" s="26">
        <f t="shared" si="48"/>
        <v>0</v>
      </c>
      <c r="AS28" s="26">
        <f t="shared" si="39"/>
        <v>0</v>
      </c>
      <c r="AT28" s="26">
        <v>0</v>
      </c>
      <c r="AU28" s="15">
        <f t="shared" si="4"/>
        <v>14.38</v>
      </c>
      <c r="AV28" s="26">
        <f>AQ28+(AQ28*BP28)</f>
        <v>14.38</v>
      </c>
      <c r="AW28" s="26">
        <f t="shared" si="49"/>
        <v>0</v>
      </c>
      <c r="AX28" s="26">
        <f t="shared" si="40"/>
        <v>0</v>
      </c>
      <c r="AY28" s="26"/>
      <c r="AZ28" s="15">
        <f t="shared" si="15"/>
        <v>14.38</v>
      </c>
      <c r="BA28" s="26">
        <f>AV28+(AV28*BP28)</f>
        <v>14.38</v>
      </c>
      <c r="BB28" s="26">
        <f t="shared" si="50"/>
        <v>0</v>
      </c>
      <c r="BC28" s="26">
        <f t="shared" si="41"/>
        <v>0</v>
      </c>
      <c r="BD28" s="26">
        <v>0</v>
      </c>
      <c r="BE28" s="15">
        <f t="shared" si="6"/>
        <v>14.38</v>
      </c>
      <c r="BF28" s="26">
        <f t="shared" si="42"/>
        <v>14.38</v>
      </c>
      <c r="BG28" s="26">
        <f t="shared" si="42"/>
        <v>0</v>
      </c>
      <c r="BH28" s="26">
        <f t="shared" si="43"/>
        <v>0</v>
      </c>
      <c r="BI28" s="26">
        <v>0</v>
      </c>
      <c r="BJ28" s="15">
        <f t="shared" si="7"/>
        <v>14.38</v>
      </c>
      <c r="BK28" s="26">
        <f t="shared" si="44"/>
        <v>14.38</v>
      </c>
      <c r="BL28" s="26">
        <f t="shared" si="44"/>
        <v>0</v>
      </c>
      <c r="BM28" s="26">
        <f t="shared" si="45"/>
        <v>0</v>
      </c>
      <c r="BN28" s="26">
        <f t="shared" si="46"/>
        <v>0</v>
      </c>
      <c r="BO28" s="15">
        <f t="shared" si="8"/>
        <v>14.38</v>
      </c>
      <c r="BP28" s="20"/>
      <c r="BQ28" s="18"/>
    </row>
    <row r="29" spans="1:69" s="19" customFormat="1" ht="30">
      <c r="A29" s="21">
        <v>60</v>
      </c>
      <c r="B29" s="2" t="s">
        <v>167</v>
      </c>
      <c r="C29" s="22">
        <v>0</v>
      </c>
      <c r="D29" s="26">
        <v>0</v>
      </c>
      <c r="E29" s="26">
        <v>0</v>
      </c>
      <c r="F29" s="26">
        <v>0</v>
      </c>
      <c r="G29" s="15">
        <f t="shared" si="37"/>
        <v>0</v>
      </c>
      <c r="H29" s="1">
        <v>0</v>
      </c>
      <c r="I29" s="32">
        <v>0</v>
      </c>
      <c r="J29" s="32">
        <v>0</v>
      </c>
      <c r="K29" s="26">
        <v>0</v>
      </c>
      <c r="L29" s="15">
        <f t="shared" si="22"/>
        <v>0</v>
      </c>
      <c r="M29" s="26">
        <v>0</v>
      </c>
      <c r="N29" s="26">
        <v>0</v>
      </c>
      <c r="O29" s="26">
        <v>0</v>
      </c>
      <c r="P29" s="26">
        <v>0</v>
      </c>
      <c r="Q29" s="25">
        <f t="shared" si="19"/>
        <v>0</v>
      </c>
      <c r="R29" s="26">
        <v>0</v>
      </c>
      <c r="S29" s="26">
        <v>0</v>
      </c>
      <c r="T29" s="26">
        <v>0</v>
      </c>
      <c r="U29" s="26">
        <v>0</v>
      </c>
      <c r="V29" s="15">
        <f t="shared" si="9"/>
        <v>0</v>
      </c>
      <c r="W29" s="26">
        <v>0</v>
      </c>
      <c r="X29" s="26">
        <v>0</v>
      </c>
      <c r="Y29" s="26">
        <v>0</v>
      </c>
      <c r="Z29" s="26">
        <v>0</v>
      </c>
      <c r="AA29" s="15">
        <f t="shared" si="10"/>
        <v>0</v>
      </c>
      <c r="AB29" s="26">
        <v>0</v>
      </c>
      <c r="AC29" s="26">
        <v>0</v>
      </c>
      <c r="AD29" s="26">
        <v>0</v>
      </c>
      <c r="AE29" s="26">
        <v>0</v>
      </c>
      <c r="AF29" s="15">
        <f t="shared" si="11"/>
        <v>0</v>
      </c>
      <c r="AG29" s="26">
        <v>0</v>
      </c>
      <c r="AH29" s="26">
        <v>0</v>
      </c>
      <c r="AI29" s="26">
        <v>0</v>
      </c>
      <c r="AJ29" s="26">
        <v>0</v>
      </c>
      <c r="AK29" s="15">
        <f t="shared" si="2"/>
        <v>0</v>
      </c>
      <c r="AL29" s="26">
        <f>AG29+(AG29*BP29)</f>
        <v>0</v>
      </c>
      <c r="AM29" s="26">
        <f t="shared" si="47"/>
        <v>0</v>
      </c>
      <c r="AN29" s="26">
        <f t="shared" si="38"/>
        <v>0</v>
      </c>
      <c r="AO29" s="26">
        <v>0</v>
      </c>
      <c r="AP29" s="15">
        <f t="shared" si="3"/>
        <v>0</v>
      </c>
      <c r="AQ29" s="26">
        <f>AL29+(AL29*BP29)</f>
        <v>0</v>
      </c>
      <c r="AR29" s="26">
        <f t="shared" si="48"/>
        <v>0</v>
      </c>
      <c r="AS29" s="26">
        <f t="shared" si="39"/>
        <v>0</v>
      </c>
      <c r="AT29" s="26">
        <v>0</v>
      </c>
      <c r="AU29" s="15">
        <f t="shared" si="4"/>
        <v>0</v>
      </c>
      <c r="AV29" s="26">
        <f>AQ29+(AQ29*BP29)</f>
        <v>0</v>
      </c>
      <c r="AW29" s="26">
        <f t="shared" si="49"/>
        <v>0</v>
      </c>
      <c r="AX29" s="26">
        <f t="shared" si="40"/>
        <v>0</v>
      </c>
      <c r="AY29" s="26"/>
      <c r="AZ29" s="15">
        <f t="shared" si="15"/>
        <v>0</v>
      </c>
      <c r="BA29" s="26">
        <f>AV29+(AV29*BP29)</f>
        <v>0</v>
      </c>
      <c r="BB29" s="26">
        <f t="shared" si="50"/>
        <v>0</v>
      </c>
      <c r="BC29" s="26">
        <f t="shared" si="41"/>
        <v>0</v>
      </c>
      <c r="BD29" s="26">
        <v>0</v>
      </c>
      <c r="BE29" s="15">
        <f t="shared" si="6"/>
        <v>0</v>
      </c>
      <c r="BF29" s="26">
        <f t="shared" si="42"/>
        <v>0</v>
      </c>
      <c r="BG29" s="26">
        <f t="shared" si="42"/>
        <v>0</v>
      </c>
      <c r="BH29" s="26">
        <f t="shared" si="43"/>
        <v>0</v>
      </c>
      <c r="BI29" s="26">
        <v>0</v>
      </c>
      <c r="BJ29" s="15">
        <f t="shared" si="7"/>
        <v>0</v>
      </c>
      <c r="BK29" s="26">
        <f t="shared" si="44"/>
        <v>0</v>
      </c>
      <c r="BL29" s="26">
        <f t="shared" si="44"/>
        <v>0</v>
      </c>
      <c r="BM29" s="26">
        <f t="shared" si="45"/>
        <v>0</v>
      </c>
      <c r="BN29" s="26">
        <f t="shared" si="46"/>
        <v>0</v>
      </c>
      <c r="BO29" s="15">
        <f t="shared" si="8"/>
        <v>0</v>
      </c>
      <c r="BP29" s="20"/>
      <c r="BQ29" s="18"/>
    </row>
    <row r="30" spans="1:69" s="19" customFormat="1" ht="15">
      <c r="A30" s="13" t="s">
        <v>32</v>
      </c>
      <c r="B30" s="14" t="s">
        <v>33</v>
      </c>
      <c r="C30" s="34">
        <f>C32+C33+C34+C35+C36+C39+C42+C43+C44</f>
        <v>113.97000000000001</v>
      </c>
      <c r="D30" s="34">
        <f>D32+D33+D34+D35+D36+D39+D42+D43+D44</f>
        <v>7.99</v>
      </c>
      <c r="E30" s="34">
        <f aca="true" t="shared" si="51" ref="E30:O30">E32+E33+E34+E35+E36+E39+E42+E43+E44</f>
        <v>1.15</v>
      </c>
      <c r="F30" s="34">
        <f>F32+F33+F34+F35+F36+F39+F42+F43+F44</f>
        <v>0</v>
      </c>
      <c r="G30" s="34">
        <f t="shared" si="51"/>
        <v>121.96000000000001</v>
      </c>
      <c r="H30" s="34">
        <f t="shared" si="51"/>
        <v>146.45</v>
      </c>
      <c r="I30" s="34">
        <f t="shared" si="51"/>
        <v>9.01</v>
      </c>
      <c r="J30" s="34">
        <f t="shared" si="51"/>
        <v>2.47</v>
      </c>
      <c r="K30" s="34">
        <f t="shared" si="51"/>
        <v>0</v>
      </c>
      <c r="L30" s="34">
        <f t="shared" si="51"/>
        <v>155.46</v>
      </c>
      <c r="M30" s="34">
        <f t="shared" si="51"/>
        <v>228.61000000000004</v>
      </c>
      <c r="N30" s="34">
        <f t="shared" si="51"/>
        <v>35</v>
      </c>
      <c r="O30" s="34">
        <f t="shared" si="51"/>
        <v>3.11</v>
      </c>
      <c r="P30" s="34">
        <f>P32+P33+P34+P35+P36+P39+P42+P43+P44</f>
        <v>0</v>
      </c>
      <c r="Q30" s="25">
        <f t="shared" si="19"/>
        <v>263.61</v>
      </c>
      <c r="R30" s="34">
        <f>R32+R33+R34+R35+R36+R39+R42+R43+R44</f>
        <v>217.01000000000002</v>
      </c>
      <c r="S30" s="34">
        <f>S32+S33+S34+S35+S36+S39+S42+S43+S44</f>
        <v>18.990000000000002</v>
      </c>
      <c r="T30" s="34">
        <f>T32+T33+T34+T35+T36+T39+T42+T43+T44</f>
        <v>0.71</v>
      </c>
      <c r="U30" s="34">
        <f>U32+U33+U34+U35+U36+U39+U42+U43+U44</f>
        <v>0</v>
      </c>
      <c r="V30" s="15">
        <f t="shared" si="9"/>
        <v>236.00000000000003</v>
      </c>
      <c r="W30" s="34">
        <f>W32+W33+W34+W35+W36+W39+W42+W43+W44</f>
        <v>237.65999999999997</v>
      </c>
      <c r="X30" s="34">
        <f>X32+X33+X34+X35+X36+X39+X42+X43+X44</f>
        <v>25.02</v>
      </c>
      <c r="Y30" s="34">
        <f>Y32+Y33+Y34+Y35+Y36+Y39+Y42+Y43+Y44</f>
        <v>0.22</v>
      </c>
      <c r="Z30" s="34">
        <f>Z32+Z33+Z34+Z35+Z36+Z39+Z42+Z43+Z44</f>
        <v>0</v>
      </c>
      <c r="AA30" s="15">
        <f t="shared" si="10"/>
        <v>262.67999999999995</v>
      </c>
      <c r="AB30" s="34">
        <f>AB32+AB33+AB34+AB35+AB36+AB39+AB42+AB43+AB44</f>
        <v>308.71</v>
      </c>
      <c r="AC30" s="34">
        <f>AC32+AC33+AC34+AC35+AC36+AC39+AC42+AC43+AC44</f>
        <v>27.04</v>
      </c>
      <c r="AD30" s="34">
        <f>AD32+AD33+AD34+AD35+AD36+AD39+AD42+AD43+AD44</f>
        <v>0.63</v>
      </c>
      <c r="AE30" s="34">
        <f>AE32+AE33+AE34+AE35+AE36+AE39+AE42+AE43+AE44</f>
        <v>0</v>
      </c>
      <c r="AF30" s="15">
        <f t="shared" si="11"/>
        <v>335.75</v>
      </c>
      <c r="AG30" s="34">
        <f>AG32+AG33+AG34+AG35+AG36+AG39+AG42+AG43+AG44</f>
        <v>324.29</v>
      </c>
      <c r="AH30" s="34">
        <f>AH32+AH33+AH34+AH35+AH36+AH39+AH42+AH43+AH44</f>
        <v>50.39</v>
      </c>
      <c r="AI30" s="34">
        <f>AI32+AI33+AI34+AI35+AI36+AI39+AI42+AI43+AI44</f>
        <v>8.84</v>
      </c>
      <c r="AJ30" s="34">
        <f>AJ32+AJ33+AJ34+AJ35+AJ36+AJ39+AJ42+AJ43+AJ44</f>
        <v>0</v>
      </c>
      <c r="AK30" s="15">
        <f t="shared" si="2"/>
        <v>374.68</v>
      </c>
      <c r="AL30" s="34">
        <f>AL32+AL33+AL34+AL35+AL36+AL39+AL42+AL43+AL44</f>
        <v>370.0847504949622</v>
      </c>
      <c r="AM30" s="34">
        <f>AM32+AM33+AM34+AM35+AM36+AM39+AM42+AM43+AM44</f>
        <v>56.03682399443734</v>
      </c>
      <c r="AN30" s="34">
        <f>AN32+AN33+AN34+AN35+AN36+AN39+AN42+AN43+AN44</f>
        <v>9.8345</v>
      </c>
      <c r="AO30" s="34">
        <f>AO32+AO33+AO34+AO35+AO36+AO39+AO42+AO43+AO44</f>
        <v>0</v>
      </c>
      <c r="AP30" s="15">
        <f t="shared" si="3"/>
        <v>426.1215744893995</v>
      </c>
      <c r="AQ30" s="34">
        <f>AQ32+AQ33+AQ34+AQ35+AQ36+AQ39+AQ42+AQ43+AQ44</f>
        <v>422.72335765872566</v>
      </c>
      <c r="AR30" s="34">
        <f>AR32+AR33+AR34+AR35+AR36+AR39+AR42+AR43+AR44</f>
        <v>62.31670966585547</v>
      </c>
      <c r="AS30" s="34">
        <f>AS32+AS33+AS34+AS35+AS36+AS39+AS42+AS43+AS44</f>
        <v>10.94088125</v>
      </c>
      <c r="AT30" s="34">
        <f>AT32+AT33+AT34+AT35+AT36+AT39+AT42+AT43+AT44</f>
        <v>0</v>
      </c>
      <c r="AU30" s="15">
        <f t="shared" si="4"/>
        <v>485.0400673245811</v>
      </c>
      <c r="AV30" s="34">
        <f>AV32+AV33+AV34+AV35+AV36+AV39+AV42+AV43+AV44</f>
        <v>483.24239044089916</v>
      </c>
      <c r="AW30" s="34">
        <f>AW32+AW33+AW34+AW35+AW36+AW39+AW42+AW43+AW44</f>
        <v>69.30065575845313</v>
      </c>
      <c r="AX30" s="34">
        <f>AX32+AX33+AX34+AX35+AX36+AX39+AX42+AX43+AX44</f>
        <v>12.171730390625001</v>
      </c>
      <c r="AY30" s="34">
        <f>AY32+AY33+AY34+AY35+AY36+AY39+AY42+AY43+AY44</f>
        <v>0</v>
      </c>
      <c r="AZ30" s="15">
        <f t="shared" si="15"/>
        <v>552.5430461993523</v>
      </c>
      <c r="BA30" s="34">
        <f>BA32+BA33+BA34+BA35+BA36+BA39+BA42+BA43+BA44</f>
        <v>552.8366111049139</v>
      </c>
      <c r="BB30" s="34">
        <f>BB32+BB33+BB34+BB35+BB36+BB39+BB42+BB43+BB44</f>
        <v>77.06762629647919</v>
      </c>
      <c r="BC30" s="34">
        <f>BC32+BC33+BC34+BC35+BC36+BC39+BC42+BC43+BC44</f>
        <v>13.541050059570313</v>
      </c>
      <c r="BD30" s="34">
        <f>BD32+BD33+BD34+BD35+BD36+BD39+BD42+BD43+BD44</f>
        <v>0</v>
      </c>
      <c r="BE30" s="15">
        <f t="shared" si="6"/>
        <v>629.9042374013931</v>
      </c>
      <c r="BF30" s="34">
        <f>BF32+BF33+BF34+BF35+BF36+BF39+BF42+BF43+BF44</f>
        <v>632.8833267652593</v>
      </c>
      <c r="BG30" s="34">
        <f>BG32+BG33+BG34+BG35+BG36+BG39+BG42+BG43+BG44</f>
        <v>85.70544446944805</v>
      </c>
      <c r="BH30" s="34">
        <f>BH32+BH33+BH34+BH35+BH36+BH39+BH42+BH43+BH44</f>
        <v>15.064418191271972</v>
      </c>
      <c r="BI30" s="34">
        <f>BI32+BI33+BI34+BI35+BI36+BI39+BI42+BI43+BI44</f>
        <v>0</v>
      </c>
      <c r="BJ30" s="15">
        <f t="shared" si="7"/>
        <v>718.5887712347073</v>
      </c>
      <c r="BK30" s="34">
        <f>BK32+BK33+BK34+BK35+BK36+BK39+BK42+BK43+BK44</f>
        <v>724.970532949737</v>
      </c>
      <c r="BL30" s="34">
        <f>BL32+BL33+BL34+BL35+BL36+BL39+BL42+BL43+BL44</f>
        <v>95.31178685847046</v>
      </c>
      <c r="BM30" s="34">
        <f>BM32+BM33+BM34+BM35+BM36+BM39+BM42+BM43+BM44</f>
        <v>16.759165237790068</v>
      </c>
      <c r="BN30" s="34">
        <f>BN32+BN33+BN34+BN35+BN36+BN39+BN42+BN43+BN44</f>
        <v>0</v>
      </c>
      <c r="BO30" s="15">
        <f t="shared" si="8"/>
        <v>820.2823198082075</v>
      </c>
      <c r="BP30" s="17">
        <v>0.14477275538553358</v>
      </c>
      <c r="BQ30" s="18">
        <v>11.20740717506699</v>
      </c>
    </row>
    <row r="31" spans="1:69" s="38" customFormat="1" ht="15">
      <c r="A31" s="35"/>
      <c r="B31" s="36" t="s">
        <v>146</v>
      </c>
      <c r="C31" s="37">
        <f aca="true" t="shared" si="52" ref="C31:P31">C30+C77</f>
        <v>134.92000000000002</v>
      </c>
      <c r="D31" s="37">
        <f t="shared" si="52"/>
        <v>9.52</v>
      </c>
      <c r="E31" s="37">
        <f t="shared" si="52"/>
        <v>1.15</v>
      </c>
      <c r="F31" s="37">
        <f t="shared" si="52"/>
        <v>0</v>
      </c>
      <c r="G31" s="37">
        <f t="shared" si="52"/>
        <v>144.44</v>
      </c>
      <c r="H31" s="37">
        <f t="shared" si="52"/>
        <v>167.23999999999998</v>
      </c>
      <c r="I31" s="37">
        <f t="shared" si="52"/>
        <v>10.4</v>
      </c>
      <c r="J31" s="37">
        <f t="shared" si="52"/>
        <v>2.47</v>
      </c>
      <c r="K31" s="37">
        <f t="shared" si="52"/>
        <v>0</v>
      </c>
      <c r="L31" s="37">
        <f t="shared" si="52"/>
        <v>177.64000000000001</v>
      </c>
      <c r="M31" s="37">
        <f t="shared" si="52"/>
        <v>246.15000000000003</v>
      </c>
      <c r="N31" s="37">
        <f t="shared" si="52"/>
        <v>36.99</v>
      </c>
      <c r="O31" s="37">
        <f t="shared" si="52"/>
        <v>3.11</v>
      </c>
      <c r="P31" s="37">
        <f t="shared" si="52"/>
        <v>0</v>
      </c>
      <c r="Q31" s="25">
        <f t="shared" si="19"/>
        <v>283.14000000000004</v>
      </c>
      <c r="R31" s="37">
        <f>R30+R77</f>
        <v>227.96</v>
      </c>
      <c r="S31" s="37">
        <f>S30+S77</f>
        <v>20.53</v>
      </c>
      <c r="T31" s="37">
        <f>T30+T77</f>
        <v>0.71</v>
      </c>
      <c r="U31" s="37">
        <f>U30+U77</f>
        <v>0</v>
      </c>
      <c r="V31" s="15">
        <f t="shared" si="9"/>
        <v>248.49</v>
      </c>
      <c r="W31" s="37">
        <f>W30+W77</f>
        <v>249.57999999999996</v>
      </c>
      <c r="X31" s="37">
        <f>X30+X77</f>
        <v>30.74</v>
      </c>
      <c r="Y31" s="37">
        <f>Y30+Y77</f>
        <v>0.22</v>
      </c>
      <c r="Z31" s="37">
        <f>Z30+Z77</f>
        <v>0</v>
      </c>
      <c r="AA31" s="15">
        <f t="shared" si="10"/>
        <v>280.31999999999994</v>
      </c>
      <c r="AB31" s="37">
        <f>AB30+AB77</f>
        <v>322.31</v>
      </c>
      <c r="AC31" s="37">
        <f>AC30+AC77</f>
        <v>29.15</v>
      </c>
      <c r="AD31" s="37">
        <f>AD30+AD77</f>
        <v>0.63</v>
      </c>
      <c r="AE31" s="37">
        <f>AE30+AE77</f>
        <v>0</v>
      </c>
      <c r="AF31" s="15">
        <f t="shared" si="11"/>
        <v>351.46</v>
      </c>
      <c r="AG31" s="37">
        <f>AG30+AG77</f>
        <v>339.32</v>
      </c>
      <c r="AH31" s="37">
        <f>AH30+AH77</f>
        <v>88.61</v>
      </c>
      <c r="AI31" s="37">
        <f>AI30+AI77</f>
        <v>8.84</v>
      </c>
      <c r="AJ31" s="37">
        <f>AJ30+AJ77</f>
        <v>0</v>
      </c>
      <c r="AK31" s="15">
        <f t="shared" si="2"/>
        <v>427.93</v>
      </c>
      <c r="AL31" s="37">
        <f>AL30+AL77</f>
        <v>385.11475049496215</v>
      </c>
      <c r="AM31" s="37">
        <f>AM30+AM77</f>
        <v>98.55657399443734</v>
      </c>
      <c r="AN31" s="37">
        <f>AN30+AN77</f>
        <v>9.8345</v>
      </c>
      <c r="AO31" s="37">
        <f>AO30+AO77</f>
        <v>0</v>
      </c>
      <c r="AP31" s="15">
        <f t="shared" si="3"/>
        <v>483.67132448939947</v>
      </c>
      <c r="AQ31" s="37">
        <f>AQ30+AQ77</f>
        <v>437.75335765872563</v>
      </c>
      <c r="AR31" s="37">
        <f>AR30+AR77</f>
        <v>109.61993154085548</v>
      </c>
      <c r="AS31" s="37">
        <f>AS30+AS77</f>
        <v>10.94088125</v>
      </c>
      <c r="AT31" s="37">
        <f>AT30+AT77</f>
        <v>0</v>
      </c>
      <c r="AU31" s="15">
        <f t="shared" si="4"/>
        <v>547.3732891995811</v>
      </c>
      <c r="AV31" s="37">
        <f>AV30+AV77</f>
        <v>498.27239044089913</v>
      </c>
      <c r="AW31" s="37">
        <f>AW30+AW77</f>
        <v>121.92549009439064</v>
      </c>
      <c r="AX31" s="37">
        <f>AX30+AX77</f>
        <v>12.171730390625001</v>
      </c>
      <c r="AY31" s="37"/>
      <c r="AZ31" s="15">
        <f t="shared" si="15"/>
        <v>620.1978805352898</v>
      </c>
      <c r="BA31" s="15">
        <f>+AW31+AX31</f>
        <v>134.09722048501564</v>
      </c>
      <c r="BB31" s="37">
        <f>BB30+BB77</f>
        <v>135.61275449520966</v>
      </c>
      <c r="BC31" s="37">
        <f>BC30+BC77</f>
        <v>13.541050059570313</v>
      </c>
      <c r="BD31" s="37">
        <f>BD30+BD77</f>
        <v>0</v>
      </c>
      <c r="BE31" s="15">
        <f t="shared" si="6"/>
        <v>269.7099749802253</v>
      </c>
      <c r="BF31" s="37">
        <f>BF30+BF77</f>
        <v>647.9133267652593</v>
      </c>
      <c r="BG31" s="37">
        <f>BG30+BG77</f>
        <v>150.83689959053572</v>
      </c>
      <c r="BH31" s="37">
        <f>BH30+BH77</f>
        <v>15.064418191271972</v>
      </c>
      <c r="BI31" s="37">
        <f>BI30+BI77</f>
        <v>0</v>
      </c>
      <c r="BJ31" s="15">
        <f t="shared" si="7"/>
        <v>798.750226355795</v>
      </c>
      <c r="BK31" s="37">
        <f>BK30+BK77</f>
        <v>740.000532949737</v>
      </c>
      <c r="BL31" s="37">
        <f>BL30+BL77</f>
        <v>167.77053068068045</v>
      </c>
      <c r="BM31" s="37">
        <f>BM30+BM77</f>
        <v>16.759165237790068</v>
      </c>
      <c r="BN31" s="37">
        <f>BN30+BN77</f>
        <v>0</v>
      </c>
      <c r="BO31" s="15">
        <f t="shared" si="8"/>
        <v>907.7710636304175</v>
      </c>
      <c r="BP31" s="20">
        <v>0.15739421079852406</v>
      </c>
      <c r="BQ31" s="18"/>
    </row>
    <row r="32" spans="1:69" s="19" customFormat="1" ht="15">
      <c r="A32" s="21">
        <v>2051</v>
      </c>
      <c r="B32" s="2" t="s">
        <v>160</v>
      </c>
      <c r="C32" s="22">
        <v>0.87</v>
      </c>
      <c r="D32" s="26">
        <v>0</v>
      </c>
      <c r="E32" s="26">
        <v>0</v>
      </c>
      <c r="F32" s="26">
        <v>0</v>
      </c>
      <c r="G32" s="15">
        <f>C32+D32</f>
        <v>0.87</v>
      </c>
      <c r="H32" s="1">
        <v>0.92</v>
      </c>
      <c r="I32" s="26">
        <v>0</v>
      </c>
      <c r="J32" s="26">
        <v>0</v>
      </c>
      <c r="K32" s="26">
        <v>0</v>
      </c>
      <c r="L32" s="15">
        <f aca="true" t="shared" si="53" ref="L32:L44">H32+I32</f>
        <v>0.92</v>
      </c>
      <c r="M32" s="26">
        <v>1.56</v>
      </c>
      <c r="N32" s="26">
        <v>0</v>
      </c>
      <c r="O32" s="26">
        <v>0</v>
      </c>
      <c r="P32" s="26">
        <v>0</v>
      </c>
      <c r="Q32" s="25">
        <f t="shared" si="19"/>
        <v>1.56</v>
      </c>
      <c r="R32" s="26">
        <v>1.47</v>
      </c>
      <c r="S32" s="26">
        <v>0</v>
      </c>
      <c r="T32" s="26">
        <v>0</v>
      </c>
      <c r="U32" s="26">
        <v>0</v>
      </c>
      <c r="V32" s="15">
        <f t="shared" si="9"/>
        <v>1.47</v>
      </c>
      <c r="W32" s="26">
        <v>2.46</v>
      </c>
      <c r="X32" s="26">
        <v>0</v>
      </c>
      <c r="Y32" s="26">
        <v>0</v>
      </c>
      <c r="Z32" s="26">
        <v>0</v>
      </c>
      <c r="AA32" s="15">
        <f t="shared" si="10"/>
        <v>2.46</v>
      </c>
      <c r="AB32" s="1">
        <v>2.34</v>
      </c>
      <c r="AC32" s="26">
        <v>0</v>
      </c>
      <c r="AD32" s="26">
        <v>0</v>
      </c>
      <c r="AE32" s="26">
        <v>0</v>
      </c>
      <c r="AF32" s="15">
        <f t="shared" si="11"/>
        <v>2.34</v>
      </c>
      <c r="AG32" s="1">
        <v>2.7</v>
      </c>
      <c r="AH32" s="26">
        <v>0</v>
      </c>
      <c r="AI32" s="26">
        <v>0</v>
      </c>
      <c r="AJ32" s="26">
        <v>0</v>
      </c>
      <c r="AK32" s="15">
        <f t="shared" si="2"/>
        <v>2.7</v>
      </c>
      <c r="AL32" s="26">
        <f aca="true" t="shared" si="54" ref="AL32:AM44">AG32+(AG32*BP32)</f>
        <v>3.3119608651631225</v>
      </c>
      <c r="AM32" s="26">
        <f t="shared" si="54"/>
        <v>0</v>
      </c>
      <c r="AN32" s="26">
        <f aca="true" t="shared" si="55" ref="AN32:AN44">AI32+(AI32*BQ32)</f>
        <v>0</v>
      </c>
      <c r="AO32" s="26">
        <v>0</v>
      </c>
      <c r="AP32" s="15">
        <f t="shared" si="3"/>
        <v>3.3119608651631225</v>
      </c>
      <c r="AQ32" s="26">
        <f aca="true" t="shared" si="56" ref="AQ32:AR44">AL32+(AL32*BP32)</f>
        <v>4.062623989767429</v>
      </c>
      <c r="AR32" s="26">
        <f t="shared" si="56"/>
        <v>0</v>
      </c>
      <c r="AS32" s="26">
        <f aca="true" t="shared" si="57" ref="AS32:AS44">AN32+(AN32*BQ32)</f>
        <v>0</v>
      </c>
      <c r="AT32" s="26">
        <v>0</v>
      </c>
      <c r="AU32" s="15">
        <f t="shared" si="4"/>
        <v>4.062623989767429</v>
      </c>
      <c r="AV32" s="26">
        <f aca="true" t="shared" si="58" ref="AV32:AW44">AQ32+(AQ32*BP32)</f>
        <v>4.983426542215774</v>
      </c>
      <c r="AW32" s="26">
        <f t="shared" si="58"/>
        <v>0</v>
      </c>
      <c r="AX32" s="26">
        <f aca="true" t="shared" si="59" ref="AX32:AX44">AS32+(AS32*BQ32)</f>
        <v>0</v>
      </c>
      <c r="AY32" s="26"/>
      <c r="AZ32" s="15">
        <f t="shared" si="15"/>
        <v>4.983426542215774</v>
      </c>
      <c r="BA32" s="26">
        <f aca="true" t="shared" si="60" ref="BA32:BB44">AV32+(AV32*BP32)</f>
        <v>6.112930993419934</v>
      </c>
      <c r="BB32" s="26">
        <f t="shared" si="60"/>
        <v>0</v>
      </c>
      <c r="BC32" s="26">
        <f aca="true" t="shared" si="61" ref="BC32:BC44">AX32+(AX32*BQ32)</f>
        <v>0</v>
      </c>
      <c r="BD32" s="26">
        <v>0</v>
      </c>
      <c r="BE32" s="15">
        <f t="shared" si="6"/>
        <v>6.112930993419934</v>
      </c>
      <c r="BF32" s="26">
        <f aca="true" t="shared" si="62" ref="BF32:BG44">BA32+(BA32*BP32)</f>
        <v>7.498440082092426</v>
      </c>
      <c r="BG32" s="26">
        <f t="shared" si="62"/>
        <v>0</v>
      </c>
      <c r="BH32" s="26">
        <f aca="true" t="shared" si="63" ref="BH32:BH44">BC32+(BC32*BQ32)</f>
        <v>0</v>
      </c>
      <c r="BI32" s="26">
        <v>0</v>
      </c>
      <c r="BJ32" s="15">
        <f t="shared" si="7"/>
        <v>7.498440082092426</v>
      </c>
      <c r="BK32" s="26">
        <f aca="true" t="shared" si="64" ref="BK32:BL44">BF32+(BF32*BP32)</f>
        <v>9.197977815429875</v>
      </c>
      <c r="BL32" s="26">
        <f t="shared" si="64"/>
        <v>0</v>
      </c>
      <c r="BM32" s="26">
        <f aca="true" t="shared" si="65" ref="BM32:BM44">BH32+(BH32*BQ32)</f>
        <v>0</v>
      </c>
      <c r="BN32" s="26">
        <f aca="true" t="shared" si="66" ref="BN32:BN44">BI32+(BI32*BU32)</f>
        <v>0</v>
      </c>
      <c r="BO32" s="15">
        <f t="shared" si="8"/>
        <v>9.197977815429875</v>
      </c>
      <c r="BP32" s="20">
        <v>0.22665217228263784</v>
      </c>
      <c r="BQ32" s="18"/>
    </row>
    <row r="33" spans="1:69" s="19" customFormat="1" ht="15">
      <c r="A33" s="21">
        <v>2052</v>
      </c>
      <c r="B33" s="2" t="s">
        <v>161</v>
      </c>
      <c r="C33" s="22">
        <v>12.71</v>
      </c>
      <c r="D33" s="1">
        <v>0.24</v>
      </c>
      <c r="E33" s="26">
        <v>0</v>
      </c>
      <c r="F33" s="26">
        <v>0</v>
      </c>
      <c r="G33" s="15">
        <f aca="true" t="shared" si="67" ref="G33:G54">C33+D33</f>
        <v>12.950000000000001</v>
      </c>
      <c r="H33" s="1">
        <v>14.45</v>
      </c>
      <c r="I33" s="1">
        <v>0.04</v>
      </c>
      <c r="J33" s="26">
        <v>0</v>
      </c>
      <c r="K33" s="26">
        <v>0</v>
      </c>
      <c r="L33" s="15">
        <f t="shared" si="53"/>
        <v>14.489999999999998</v>
      </c>
      <c r="M33" s="26">
        <v>25.19</v>
      </c>
      <c r="N33" s="26">
        <v>0.19</v>
      </c>
      <c r="O33" s="26">
        <v>0</v>
      </c>
      <c r="P33" s="26">
        <v>0</v>
      </c>
      <c r="Q33" s="25">
        <f t="shared" si="19"/>
        <v>25.380000000000003</v>
      </c>
      <c r="R33" s="26">
        <v>23.41</v>
      </c>
      <c r="S33" s="26">
        <v>0</v>
      </c>
      <c r="T33" s="26">
        <v>0</v>
      </c>
      <c r="U33" s="26">
        <v>0</v>
      </c>
      <c r="V33" s="15">
        <f t="shared" si="9"/>
        <v>23.41</v>
      </c>
      <c r="W33" s="26">
        <v>23.81</v>
      </c>
      <c r="X33" s="26">
        <v>0.2</v>
      </c>
      <c r="Y33" s="26">
        <v>0</v>
      </c>
      <c r="Z33" s="26">
        <v>0</v>
      </c>
      <c r="AA33" s="15">
        <f t="shared" si="10"/>
        <v>24.009999999999998</v>
      </c>
      <c r="AB33" s="1">
        <v>27.17</v>
      </c>
      <c r="AC33" s="26">
        <v>0</v>
      </c>
      <c r="AD33" s="26">
        <v>0</v>
      </c>
      <c r="AE33" s="26">
        <v>0</v>
      </c>
      <c r="AF33" s="15">
        <f t="shared" si="11"/>
        <v>27.17</v>
      </c>
      <c r="AG33" s="1">
        <v>31.39</v>
      </c>
      <c r="AH33" s="1">
        <v>1</v>
      </c>
      <c r="AI33" s="26">
        <v>0</v>
      </c>
      <c r="AJ33" s="26">
        <v>0</v>
      </c>
      <c r="AK33" s="15">
        <f t="shared" si="2"/>
        <v>32.39</v>
      </c>
      <c r="AL33" s="26">
        <f t="shared" si="54"/>
        <v>36.10554383755568</v>
      </c>
      <c r="AM33" s="26">
        <f t="shared" si="54"/>
        <v>1.1125</v>
      </c>
      <c r="AN33" s="26">
        <f t="shared" si="55"/>
        <v>0</v>
      </c>
      <c r="AO33" s="26">
        <v>0</v>
      </c>
      <c r="AP33" s="15">
        <f t="shared" si="3"/>
        <v>37.218043837555676</v>
      </c>
      <c r="AQ33" s="26">
        <f t="shared" si="56"/>
        <v>41.52947740699761</v>
      </c>
      <c r="AR33" s="26">
        <f t="shared" si="56"/>
        <v>1.2376562500000001</v>
      </c>
      <c r="AS33" s="26">
        <f t="shared" si="57"/>
        <v>0</v>
      </c>
      <c r="AT33" s="26">
        <v>0</v>
      </c>
      <c r="AU33" s="15">
        <f t="shared" si="4"/>
        <v>42.76713365699761</v>
      </c>
      <c r="AV33" s="26">
        <f t="shared" si="58"/>
        <v>47.76821812899427</v>
      </c>
      <c r="AW33" s="26">
        <f t="shared" si="58"/>
        <v>1.376892578125</v>
      </c>
      <c r="AX33" s="26">
        <f t="shared" si="59"/>
        <v>0</v>
      </c>
      <c r="AY33" s="26"/>
      <c r="AZ33" s="15">
        <f t="shared" si="15"/>
        <v>49.14511070711927</v>
      </c>
      <c r="BA33" s="26">
        <f t="shared" si="60"/>
        <v>54.9441699171177</v>
      </c>
      <c r="BB33" s="26">
        <f t="shared" si="60"/>
        <v>1.5317929931640626</v>
      </c>
      <c r="BC33" s="26">
        <f t="shared" si="61"/>
        <v>0</v>
      </c>
      <c r="BD33" s="26">
        <v>0</v>
      </c>
      <c r="BE33" s="15">
        <f t="shared" si="6"/>
        <v>56.47596291028176</v>
      </c>
      <c r="BF33" s="26">
        <f t="shared" si="62"/>
        <v>63.198124739108025</v>
      </c>
      <c r="BG33" s="26">
        <f t="shared" si="62"/>
        <v>1.7041197048950196</v>
      </c>
      <c r="BH33" s="26">
        <f t="shared" si="63"/>
        <v>0</v>
      </c>
      <c r="BI33" s="26">
        <v>0</v>
      </c>
      <c r="BJ33" s="15">
        <f t="shared" si="7"/>
        <v>64.90224444400305</v>
      </c>
      <c r="BK33" s="26">
        <f t="shared" si="64"/>
        <v>72.69202495123214</v>
      </c>
      <c r="BL33" s="26">
        <f t="shared" si="64"/>
        <v>1.8958331716957093</v>
      </c>
      <c r="BM33" s="26">
        <f t="shared" si="65"/>
        <v>0</v>
      </c>
      <c r="BN33" s="26">
        <f t="shared" si="66"/>
        <v>0</v>
      </c>
      <c r="BO33" s="15">
        <f t="shared" si="8"/>
        <v>74.58785812292786</v>
      </c>
      <c r="BP33" s="20">
        <v>0.15022439750097732</v>
      </c>
      <c r="BQ33" s="18">
        <v>0.1125</v>
      </c>
    </row>
    <row r="34" spans="1:69" s="19" customFormat="1" ht="15">
      <c r="A34" s="21">
        <v>2053</v>
      </c>
      <c r="B34" s="2" t="s">
        <v>162</v>
      </c>
      <c r="C34" s="22">
        <v>4.51</v>
      </c>
      <c r="D34" s="26">
        <v>0</v>
      </c>
      <c r="E34" s="26">
        <v>0</v>
      </c>
      <c r="F34" s="26">
        <v>0</v>
      </c>
      <c r="G34" s="15">
        <f t="shared" si="67"/>
        <v>4.51</v>
      </c>
      <c r="H34" s="1">
        <v>5.37</v>
      </c>
      <c r="I34" s="26">
        <v>0</v>
      </c>
      <c r="J34" s="26">
        <v>0</v>
      </c>
      <c r="K34" s="26">
        <v>0</v>
      </c>
      <c r="L34" s="15">
        <f t="shared" si="53"/>
        <v>5.37</v>
      </c>
      <c r="M34" s="26">
        <v>8.63</v>
      </c>
      <c r="N34" s="26">
        <v>0</v>
      </c>
      <c r="O34" s="26">
        <v>0</v>
      </c>
      <c r="P34" s="26">
        <v>0</v>
      </c>
      <c r="Q34" s="25">
        <f t="shared" si="19"/>
        <v>8.63</v>
      </c>
      <c r="R34" s="26">
        <v>7.73</v>
      </c>
      <c r="S34" s="26">
        <v>0</v>
      </c>
      <c r="T34" s="26">
        <v>0</v>
      </c>
      <c r="U34" s="26">
        <v>0</v>
      </c>
      <c r="V34" s="15">
        <f t="shared" si="9"/>
        <v>7.73</v>
      </c>
      <c r="W34" s="26">
        <v>8.2</v>
      </c>
      <c r="X34" s="26">
        <v>0</v>
      </c>
      <c r="Y34" s="26">
        <v>0</v>
      </c>
      <c r="Z34" s="26">
        <v>0</v>
      </c>
      <c r="AA34" s="15">
        <f t="shared" si="10"/>
        <v>8.2</v>
      </c>
      <c r="AB34" s="1">
        <v>8.98</v>
      </c>
      <c r="AC34" s="26">
        <v>0</v>
      </c>
      <c r="AD34" s="26">
        <v>0</v>
      </c>
      <c r="AE34" s="26">
        <v>0</v>
      </c>
      <c r="AF34" s="15">
        <f t="shared" si="11"/>
        <v>8.98</v>
      </c>
      <c r="AG34" s="1">
        <v>9.85</v>
      </c>
      <c r="AH34" s="26">
        <v>0</v>
      </c>
      <c r="AI34" s="26">
        <v>0</v>
      </c>
      <c r="AJ34" s="26">
        <v>0</v>
      </c>
      <c r="AK34" s="15">
        <f t="shared" si="2"/>
        <v>9.85</v>
      </c>
      <c r="AL34" s="26">
        <f t="shared" si="54"/>
        <v>11.09028945625414</v>
      </c>
      <c r="AM34" s="26">
        <f t="shared" si="54"/>
        <v>0</v>
      </c>
      <c r="AN34" s="26">
        <f t="shared" si="55"/>
        <v>0</v>
      </c>
      <c r="AO34" s="26">
        <v>0</v>
      </c>
      <c r="AP34" s="15">
        <f t="shared" si="3"/>
        <v>11.09028945625414</v>
      </c>
      <c r="AQ34" s="26">
        <f t="shared" si="56"/>
        <v>12.48675332218292</v>
      </c>
      <c r="AR34" s="26">
        <f t="shared" si="56"/>
        <v>0</v>
      </c>
      <c r="AS34" s="26">
        <f t="shared" si="57"/>
        <v>0</v>
      </c>
      <c r="AT34" s="26">
        <v>0</v>
      </c>
      <c r="AU34" s="15">
        <f t="shared" si="4"/>
        <v>12.48675332218292</v>
      </c>
      <c r="AV34" s="26">
        <f t="shared" si="58"/>
        <v>14.059056722015391</v>
      </c>
      <c r="AW34" s="26">
        <f t="shared" si="58"/>
        <v>0</v>
      </c>
      <c r="AX34" s="26">
        <f t="shared" si="59"/>
        <v>0</v>
      </c>
      <c r="AY34" s="26"/>
      <c r="AZ34" s="15">
        <f t="shared" si="15"/>
        <v>14.059056722015391</v>
      </c>
      <c r="BA34" s="26">
        <f t="shared" si="60"/>
        <v>15.829340967415858</v>
      </c>
      <c r="BB34" s="26">
        <f t="shared" si="60"/>
        <v>0</v>
      </c>
      <c r="BC34" s="26">
        <f t="shared" si="61"/>
        <v>0</v>
      </c>
      <c r="BD34" s="26">
        <v>0</v>
      </c>
      <c r="BE34" s="15">
        <f t="shared" si="6"/>
        <v>15.829340967415858</v>
      </c>
      <c r="BF34" s="26">
        <f t="shared" si="62"/>
        <v>17.82253535333846</v>
      </c>
      <c r="BG34" s="26">
        <f t="shared" si="62"/>
        <v>0</v>
      </c>
      <c r="BH34" s="26">
        <f t="shared" si="63"/>
        <v>0</v>
      </c>
      <c r="BI34" s="26">
        <v>0</v>
      </c>
      <c r="BJ34" s="15">
        <f t="shared" si="7"/>
        <v>17.82253535333846</v>
      </c>
      <c r="BK34" s="26">
        <f t="shared" si="64"/>
        <v>20.06670821450215</v>
      </c>
      <c r="BL34" s="26">
        <f t="shared" si="64"/>
        <v>0</v>
      </c>
      <c r="BM34" s="26">
        <f t="shared" si="65"/>
        <v>0</v>
      </c>
      <c r="BN34" s="26">
        <f t="shared" si="66"/>
        <v>0</v>
      </c>
      <c r="BO34" s="15">
        <f t="shared" si="8"/>
        <v>20.06670821450215</v>
      </c>
      <c r="BP34" s="20">
        <v>0.12591771129483662</v>
      </c>
      <c r="BQ34" s="18"/>
    </row>
    <row r="35" spans="1:69" s="19" customFormat="1" ht="30">
      <c r="A35" s="21">
        <v>2054</v>
      </c>
      <c r="B35" s="2" t="s">
        <v>163</v>
      </c>
      <c r="C35" s="22">
        <v>5.51</v>
      </c>
      <c r="D35" s="26">
        <v>0</v>
      </c>
      <c r="E35" s="26">
        <v>0</v>
      </c>
      <c r="F35" s="26">
        <v>0</v>
      </c>
      <c r="G35" s="15">
        <f t="shared" si="67"/>
        <v>5.51</v>
      </c>
      <c r="H35" s="1">
        <v>6.3</v>
      </c>
      <c r="I35" s="26">
        <v>0</v>
      </c>
      <c r="J35" s="26">
        <v>0</v>
      </c>
      <c r="K35" s="26">
        <v>0</v>
      </c>
      <c r="L35" s="15">
        <f t="shared" si="53"/>
        <v>6.3</v>
      </c>
      <c r="M35" s="26">
        <v>10.95</v>
      </c>
      <c r="N35" s="26">
        <v>0</v>
      </c>
      <c r="O35" s="26">
        <v>0</v>
      </c>
      <c r="P35" s="26">
        <v>0</v>
      </c>
      <c r="Q35" s="25">
        <f t="shared" si="19"/>
        <v>10.95</v>
      </c>
      <c r="R35" s="26">
        <v>9.84</v>
      </c>
      <c r="S35" s="26">
        <v>0</v>
      </c>
      <c r="T35" s="26">
        <v>0</v>
      </c>
      <c r="U35" s="26">
        <v>0</v>
      </c>
      <c r="V35" s="15">
        <f t="shared" si="9"/>
        <v>9.84</v>
      </c>
      <c r="W35" s="26">
        <v>11.36</v>
      </c>
      <c r="X35" s="26">
        <v>0</v>
      </c>
      <c r="Y35" s="26">
        <v>0</v>
      </c>
      <c r="Z35" s="26">
        <v>0</v>
      </c>
      <c r="AA35" s="15">
        <f t="shared" si="10"/>
        <v>11.36</v>
      </c>
      <c r="AB35" s="1">
        <v>12.86</v>
      </c>
      <c r="AC35" s="26">
        <v>0</v>
      </c>
      <c r="AD35" s="26">
        <v>0</v>
      </c>
      <c r="AE35" s="26">
        <v>0</v>
      </c>
      <c r="AF35" s="15">
        <f t="shared" si="11"/>
        <v>12.86</v>
      </c>
      <c r="AG35" s="1">
        <v>14.07</v>
      </c>
      <c r="AH35" s="26">
        <v>1.44</v>
      </c>
      <c r="AI35" s="26">
        <v>1.44</v>
      </c>
      <c r="AJ35" s="26">
        <v>0</v>
      </c>
      <c r="AK35" s="15">
        <f t="shared" si="2"/>
        <v>15.51</v>
      </c>
      <c r="AL35" s="26">
        <f t="shared" si="54"/>
        <v>16.391639823156066</v>
      </c>
      <c r="AM35" s="26">
        <f t="shared" si="54"/>
        <v>1.6019999999999999</v>
      </c>
      <c r="AN35" s="26">
        <f t="shared" si="55"/>
        <v>1.6019999999999999</v>
      </c>
      <c r="AO35" s="26">
        <v>0</v>
      </c>
      <c r="AP35" s="15">
        <f t="shared" si="3"/>
        <v>17.993639823156066</v>
      </c>
      <c r="AQ35" s="26">
        <f t="shared" si="56"/>
        <v>19.096365038527065</v>
      </c>
      <c r="AR35" s="26">
        <f t="shared" si="56"/>
        <v>1.782225</v>
      </c>
      <c r="AS35" s="26">
        <f t="shared" si="57"/>
        <v>1.782225</v>
      </c>
      <c r="AT35" s="26">
        <v>0</v>
      </c>
      <c r="AU35" s="15">
        <f t="shared" si="4"/>
        <v>20.878590038527065</v>
      </c>
      <c r="AV35" s="26">
        <f t="shared" si="58"/>
        <v>22.24738718145312</v>
      </c>
      <c r="AW35" s="26">
        <f t="shared" si="58"/>
        <v>1.9827253125</v>
      </c>
      <c r="AX35" s="26">
        <f t="shared" si="59"/>
        <v>1.9827253125</v>
      </c>
      <c r="AY35" s="26"/>
      <c r="AZ35" s="15">
        <f t="shared" si="15"/>
        <v>24.230112493953122</v>
      </c>
      <c r="BA35" s="26">
        <f t="shared" si="60"/>
        <v>25.918348094149163</v>
      </c>
      <c r="BB35" s="26">
        <f t="shared" si="60"/>
        <v>2.20578191015625</v>
      </c>
      <c r="BC35" s="26">
        <f t="shared" si="61"/>
        <v>2.20578191015625</v>
      </c>
      <c r="BD35" s="26">
        <v>0</v>
      </c>
      <c r="BE35" s="15">
        <f t="shared" si="6"/>
        <v>28.124130004305414</v>
      </c>
      <c r="BF35" s="26">
        <f t="shared" si="62"/>
        <v>30.195040992926547</v>
      </c>
      <c r="BG35" s="26">
        <f t="shared" si="62"/>
        <v>2.453932375048828</v>
      </c>
      <c r="BH35" s="26">
        <f t="shared" si="63"/>
        <v>2.453932375048828</v>
      </c>
      <c r="BI35" s="26">
        <v>0</v>
      </c>
      <c r="BJ35" s="15">
        <f t="shared" si="7"/>
        <v>32.64897336797537</v>
      </c>
      <c r="BK35" s="26">
        <f t="shared" si="64"/>
        <v>35.177415522493575</v>
      </c>
      <c r="BL35" s="26">
        <f t="shared" si="64"/>
        <v>2.729999767241821</v>
      </c>
      <c r="BM35" s="26">
        <f t="shared" si="65"/>
        <v>2.729999767241821</v>
      </c>
      <c r="BN35" s="26">
        <f t="shared" si="66"/>
        <v>0</v>
      </c>
      <c r="BO35" s="15">
        <f t="shared" si="8"/>
        <v>37.9074152897354</v>
      </c>
      <c r="BP35" s="20">
        <v>0.16500638401962078</v>
      </c>
      <c r="BQ35" s="18">
        <v>0.1125</v>
      </c>
    </row>
    <row r="36" spans="1:69" s="19" customFormat="1" ht="15">
      <c r="A36" s="21">
        <v>2055</v>
      </c>
      <c r="B36" s="2" t="s">
        <v>238</v>
      </c>
      <c r="C36" s="22">
        <v>73.05</v>
      </c>
      <c r="D36" s="1">
        <f>0.03+E36</f>
        <v>1.01</v>
      </c>
      <c r="E36" s="1">
        <v>0.98</v>
      </c>
      <c r="F36" s="26">
        <v>0</v>
      </c>
      <c r="G36" s="15">
        <f t="shared" si="67"/>
        <v>74.06</v>
      </c>
      <c r="H36" s="1">
        <v>85.12</v>
      </c>
      <c r="I36" s="26">
        <f>0.13+J36</f>
        <v>2.56</v>
      </c>
      <c r="J36" s="26">
        <v>2.43</v>
      </c>
      <c r="K36" s="26">
        <v>0</v>
      </c>
      <c r="L36" s="15">
        <f t="shared" si="53"/>
        <v>87.68</v>
      </c>
      <c r="M36" s="26">
        <v>156.58</v>
      </c>
      <c r="N36" s="26">
        <f>0+O36</f>
        <v>2.75</v>
      </c>
      <c r="O36" s="26">
        <v>2.75</v>
      </c>
      <c r="P36" s="26">
        <v>0</v>
      </c>
      <c r="Q36" s="25">
        <f t="shared" si="19"/>
        <v>159.33</v>
      </c>
      <c r="R36" s="26">
        <v>151.91</v>
      </c>
      <c r="S36" s="26">
        <v>0</v>
      </c>
      <c r="T36" s="26">
        <v>0</v>
      </c>
      <c r="U36" s="26">
        <v>0</v>
      </c>
      <c r="V36" s="15">
        <f t="shared" si="9"/>
        <v>151.91</v>
      </c>
      <c r="W36" s="26">
        <v>172.74</v>
      </c>
      <c r="X36" s="26">
        <f>0+Y36</f>
        <v>0.07</v>
      </c>
      <c r="Y36" s="26">
        <v>0.07</v>
      </c>
      <c r="Z36" s="26">
        <v>0</v>
      </c>
      <c r="AA36" s="15">
        <f t="shared" si="10"/>
        <v>172.81</v>
      </c>
      <c r="AB36" s="1">
        <v>227.09</v>
      </c>
      <c r="AC36" s="1">
        <v>0.12</v>
      </c>
      <c r="AD36" s="1">
        <v>0.01</v>
      </c>
      <c r="AE36" s="26"/>
      <c r="AF36" s="15">
        <f t="shared" si="11"/>
        <v>227.21</v>
      </c>
      <c r="AG36" s="1">
        <v>232.38</v>
      </c>
      <c r="AH36" s="26">
        <v>7.53</v>
      </c>
      <c r="AI36" s="1">
        <v>7.16</v>
      </c>
      <c r="AJ36" s="26">
        <v>0</v>
      </c>
      <c r="AK36" s="15">
        <f t="shared" si="2"/>
        <v>239.91</v>
      </c>
      <c r="AL36" s="26">
        <f t="shared" si="54"/>
        <v>267.23699999999997</v>
      </c>
      <c r="AM36" s="26">
        <f t="shared" si="54"/>
        <v>8.377125</v>
      </c>
      <c r="AN36" s="26">
        <f t="shared" si="55"/>
        <v>7.9655000000000005</v>
      </c>
      <c r="AO36" s="26">
        <v>0</v>
      </c>
      <c r="AP36" s="15">
        <f t="shared" si="3"/>
        <v>275.61412499999994</v>
      </c>
      <c r="AQ36" s="26">
        <f t="shared" si="56"/>
        <v>307.32255</v>
      </c>
      <c r="AR36" s="26">
        <f t="shared" si="56"/>
        <v>9.3195515625</v>
      </c>
      <c r="AS36" s="26">
        <f t="shared" si="57"/>
        <v>8.86161875</v>
      </c>
      <c r="AT36" s="26">
        <v>0</v>
      </c>
      <c r="AU36" s="15">
        <f t="shared" si="4"/>
        <v>316.6421015625</v>
      </c>
      <c r="AV36" s="26">
        <f t="shared" si="58"/>
        <v>353.4209325</v>
      </c>
      <c r="AW36" s="26">
        <f t="shared" si="58"/>
        <v>10.368001113281249</v>
      </c>
      <c r="AX36" s="26">
        <f t="shared" si="59"/>
        <v>9.858550859375</v>
      </c>
      <c r="AY36" s="26"/>
      <c r="AZ36" s="15">
        <f t="shared" si="15"/>
        <v>363.78893361328124</v>
      </c>
      <c r="BA36" s="26">
        <f t="shared" si="60"/>
        <v>406.43407237499997</v>
      </c>
      <c r="BB36" s="26">
        <f t="shared" si="60"/>
        <v>11.534401238525389</v>
      </c>
      <c r="BC36" s="26">
        <f t="shared" si="61"/>
        <v>10.967637831054688</v>
      </c>
      <c r="BD36" s="26">
        <v>0</v>
      </c>
      <c r="BE36" s="15">
        <f t="shared" si="6"/>
        <v>417.96847361352536</v>
      </c>
      <c r="BF36" s="26">
        <f t="shared" si="62"/>
        <v>467.39918323124994</v>
      </c>
      <c r="BG36" s="26">
        <f t="shared" si="62"/>
        <v>12.832021377859494</v>
      </c>
      <c r="BH36" s="26">
        <f t="shared" si="63"/>
        <v>12.20149708704834</v>
      </c>
      <c r="BI36" s="26">
        <v>0</v>
      </c>
      <c r="BJ36" s="15">
        <f t="shared" si="7"/>
        <v>480.23120460910945</v>
      </c>
      <c r="BK36" s="26">
        <f t="shared" si="64"/>
        <v>537.5090607159374</v>
      </c>
      <c r="BL36" s="26">
        <f t="shared" si="64"/>
        <v>14.275623782868687</v>
      </c>
      <c r="BM36" s="26">
        <f t="shared" si="65"/>
        <v>13.574165509341277</v>
      </c>
      <c r="BN36" s="26">
        <f t="shared" si="66"/>
        <v>0</v>
      </c>
      <c r="BO36" s="15">
        <f t="shared" si="8"/>
        <v>551.7846844988061</v>
      </c>
      <c r="BP36" s="20">
        <v>0.15</v>
      </c>
      <c r="BQ36" s="18">
        <v>0.1125</v>
      </c>
    </row>
    <row r="37" spans="1:69" s="19" customFormat="1" ht="30">
      <c r="A37" s="21">
        <v>115</v>
      </c>
      <c r="B37" s="2" t="s">
        <v>34</v>
      </c>
      <c r="C37" s="22">
        <v>0</v>
      </c>
      <c r="D37" s="1">
        <f>0+E37</f>
        <v>0.98</v>
      </c>
      <c r="E37" s="1">
        <v>0.98</v>
      </c>
      <c r="F37" s="26">
        <v>0</v>
      </c>
      <c r="G37" s="15">
        <f t="shared" si="67"/>
        <v>0.98</v>
      </c>
      <c r="H37" s="1">
        <v>4.06</v>
      </c>
      <c r="I37" s="26">
        <f>0.1+J37</f>
        <v>2.5300000000000002</v>
      </c>
      <c r="J37" s="26">
        <v>2.43</v>
      </c>
      <c r="K37" s="26">
        <v>0</v>
      </c>
      <c r="L37" s="15">
        <f t="shared" si="53"/>
        <v>6.59</v>
      </c>
      <c r="M37" s="26">
        <v>0</v>
      </c>
      <c r="N37" s="26">
        <f>0+O37</f>
        <v>2.7</v>
      </c>
      <c r="O37" s="26">
        <v>2.7</v>
      </c>
      <c r="P37" s="26">
        <v>0</v>
      </c>
      <c r="Q37" s="25">
        <f t="shared" si="19"/>
        <v>2.7</v>
      </c>
      <c r="R37" s="26">
        <v>0.53</v>
      </c>
      <c r="S37" s="26">
        <v>0</v>
      </c>
      <c r="T37" s="26">
        <v>0</v>
      </c>
      <c r="U37" s="26">
        <v>0</v>
      </c>
      <c r="V37" s="15">
        <f t="shared" si="9"/>
        <v>0.53</v>
      </c>
      <c r="W37" s="26">
        <v>4.06</v>
      </c>
      <c r="X37" s="26">
        <v>0</v>
      </c>
      <c r="Y37" s="26">
        <v>0</v>
      </c>
      <c r="Z37" s="26">
        <v>0</v>
      </c>
      <c r="AA37" s="15">
        <f t="shared" si="10"/>
        <v>4.06</v>
      </c>
      <c r="AB37" s="26">
        <v>0</v>
      </c>
      <c r="AC37" s="26">
        <v>0</v>
      </c>
      <c r="AD37" s="26">
        <v>0</v>
      </c>
      <c r="AE37" s="26">
        <v>0</v>
      </c>
      <c r="AF37" s="15">
        <f t="shared" si="11"/>
        <v>0</v>
      </c>
      <c r="AG37" s="26">
        <v>0</v>
      </c>
      <c r="AH37" s="26">
        <v>0</v>
      </c>
      <c r="AI37" s="26">
        <v>0</v>
      </c>
      <c r="AJ37" s="26">
        <v>0</v>
      </c>
      <c r="AK37" s="15">
        <f t="shared" si="2"/>
        <v>0</v>
      </c>
      <c r="AL37" s="26">
        <f t="shared" si="54"/>
        <v>0</v>
      </c>
      <c r="AM37" s="26">
        <f t="shared" si="54"/>
        <v>0</v>
      </c>
      <c r="AN37" s="26">
        <f t="shared" si="55"/>
        <v>0</v>
      </c>
      <c r="AO37" s="26">
        <v>0</v>
      </c>
      <c r="AP37" s="15">
        <f t="shared" si="3"/>
        <v>0</v>
      </c>
      <c r="AQ37" s="26">
        <f t="shared" si="56"/>
        <v>0</v>
      </c>
      <c r="AR37" s="26">
        <f t="shared" si="56"/>
        <v>0</v>
      </c>
      <c r="AS37" s="26">
        <f t="shared" si="57"/>
        <v>0</v>
      </c>
      <c r="AT37" s="26">
        <v>0</v>
      </c>
      <c r="AU37" s="15">
        <f t="shared" si="4"/>
        <v>0</v>
      </c>
      <c r="AV37" s="26">
        <f t="shared" si="58"/>
        <v>0</v>
      </c>
      <c r="AW37" s="26">
        <f t="shared" si="58"/>
        <v>0</v>
      </c>
      <c r="AX37" s="26">
        <f t="shared" si="59"/>
        <v>0</v>
      </c>
      <c r="AY37" s="26"/>
      <c r="AZ37" s="15">
        <f t="shared" si="15"/>
        <v>0</v>
      </c>
      <c r="BA37" s="26">
        <f t="shared" si="60"/>
        <v>0</v>
      </c>
      <c r="BB37" s="26">
        <f t="shared" si="60"/>
        <v>0</v>
      </c>
      <c r="BC37" s="26">
        <f t="shared" si="61"/>
        <v>0</v>
      </c>
      <c r="BD37" s="26">
        <v>0</v>
      </c>
      <c r="BE37" s="15">
        <f t="shared" si="6"/>
        <v>0</v>
      </c>
      <c r="BF37" s="26">
        <f t="shared" si="62"/>
        <v>0</v>
      </c>
      <c r="BG37" s="26">
        <f t="shared" si="62"/>
        <v>0</v>
      </c>
      <c r="BH37" s="26">
        <f t="shared" si="63"/>
        <v>0</v>
      </c>
      <c r="BI37" s="26">
        <v>0</v>
      </c>
      <c r="BJ37" s="15">
        <f t="shared" si="7"/>
        <v>0</v>
      </c>
      <c r="BK37" s="26">
        <f t="shared" si="64"/>
        <v>0</v>
      </c>
      <c r="BL37" s="26">
        <f t="shared" si="64"/>
        <v>0</v>
      </c>
      <c r="BM37" s="26">
        <f t="shared" si="65"/>
        <v>0</v>
      </c>
      <c r="BN37" s="26">
        <f t="shared" si="66"/>
        <v>0</v>
      </c>
      <c r="BO37" s="15">
        <f t="shared" si="8"/>
        <v>0</v>
      </c>
      <c r="BP37" s="20"/>
      <c r="BQ37" s="18"/>
    </row>
    <row r="38" spans="1:69" s="19" customFormat="1" ht="15">
      <c r="A38" s="21"/>
      <c r="B38" s="2" t="s">
        <v>35</v>
      </c>
      <c r="C38" s="22">
        <v>4.36</v>
      </c>
      <c r="D38" s="26">
        <v>0</v>
      </c>
      <c r="E38" s="26">
        <v>0</v>
      </c>
      <c r="F38" s="26">
        <v>0</v>
      </c>
      <c r="G38" s="15">
        <f t="shared" si="67"/>
        <v>4.36</v>
      </c>
      <c r="H38" s="1">
        <v>4.8</v>
      </c>
      <c r="I38" s="26">
        <v>0</v>
      </c>
      <c r="J38" s="26">
        <v>0</v>
      </c>
      <c r="K38" s="26">
        <v>0</v>
      </c>
      <c r="L38" s="15">
        <f t="shared" si="53"/>
        <v>4.8</v>
      </c>
      <c r="M38" s="26">
        <v>0</v>
      </c>
      <c r="N38" s="26">
        <v>0</v>
      </c>
      <c r="O38" s="26">
        <v>0</v>
      </c>
      <c r="P38" s="26">
        <v>0</v>
      </c>
      <c r="Q38" s="25">
        <f t="shared" si="19"/>
        <v>0</v>
      </c>
      <c r="R38" s="26">
        <v>7.54</v>
      </c>
      <c r="S38" s="26">
        <v>0</v>
      </c>
      <c r="T38" s="26">
        <v>0</v>
      </c>
      <c r="U38" s="26">
        <v>0</v>
      </c>
      <c r="V38" s="15">
        <f t="shared" si="9"/>
        <v>7.54</v>
      </c>
      <c r="W38" s="26">
        <v>8.27</v>
      </c>
      <c r="X38" s="26">
        <v>0</v>
      </c>
      <c r="Y38" s="26">
        <v>0</v>
      </c>
      <c r="Z38" s="26">
        <v>0</v>
      </c>
      <c r="AA38" s="15">
        <f t="shared" si="10"/>
        <v>8.27</v>
      </c>
      <c r="AB38" s="26">
        <v>0</v>
      </c>
      <c r="AC38" s="26">
        <v>0</v>
      </c>
      <c r="AD38" s="26">
        <v>0</v>
      </c>
      <c r="AE38" s="26">
        <v>0</v>
      </c>
      <c r="AF38" s="15">
        <f t="shared" si="11"/>
        <v>0</v>
      </c>
      <c r="AG38" s="26">
        <v>0</v>
      </c>
      <c r="AH38" s="26">
        <v>0</v>
      </c>
      <c r="AI38" s="26">
        <v>0</v>
      </c>
      <c r="AJ38" s="26">
        <v>0</v>
      </c>
      <c r="AK38" s="15">
        <f t="shared" si="2"/>
        <v>0</v>
      </c>
      <c r="AL38" s="26">
        <f t="shared" si="54"/>
        <v>0</v>
      </c>
      <c r="AM38" s="26">
        <f t="shared" si="54"/>
        <v>0</v>
      </c>
      <c r="AN38" s="26">
        <f t="shared" si="55"/>
        <v>0</v>
      </c>
      <c r="AO38" s="26">
        <v>0</v>
      </c>
      <c r="AP38" s="15">
        <f t="shared" si="3"/>
        <v>0</v>
      </c>
      <c r="AQ38" s="26">
        <f t="shared" si="56"/>
        <v>0</v>
      </c>
      <c r="AR38" s="26">
        <f t="shared" si="56"/>
        <v>0</v>
      </c>
      <c r="AS38" s="26">
        <f t="shared" si="57"/>
        <v>0</v>
      </c>
      <c r="AT38" s="26">
        <v>0</v>
      </c>
      <c r="AU38" s="15">
        <f t="shared" si="4"/>
        <v>0</v>
      </c>
      <c r="AV38" s="26">
        <f t="shared" si="58"/>
        <v>0</v>
      </c>
      <c r="AW38" s="26">
        <f t="shared" si="58"/>
        <v>0</v>
      </c>
      <c r="AX38" s="26">
        <f t="shared" si="59"/>
        <v>0</v>
      </c>
      <c r="AY38" s="26"/>
      <c r="AZ38" s="15">
        <f t="shared" si="15"/>
        <v>0</v>
      </c>
      <c r="BA38" s="26">
        <f t="shared" si="60"/>
        <v>0</v>
      </c>
      <c r="BB38" s="26">
        <f t="shared" si="60"/>
        <v>0</v>
      </c>
      <c r="BC38" s="26">
        <f t="shared" si="61"/>
        <v>0</v>
      </c>
      <c r="BD38" s="26">
        <v>0</v>
      </c>
      <c r="BE38" s="15">
        <f t="shared" si="6"/>
        <v>0</v>
      </c>
      <c r="BF38" s="26">
        <f t="shared" si="62"/>
        <v>0</v>
      </c>
      <c r="BG38" s="26">
        <f t="shared" si="62"/>
        <v>0</v>
      </c>
      <c r="BH38" s="26">
        <f t="shared" si="63"/>
        <v>0</v>
      </c>
      <c r="BI38" s="26">
        <v>0</v>
      </c>
      <c r="BJ38" s="15">
        <f t="shared" si="7"/>
        <v>0</v>
      </c>
      <c r="BK38" s="26">
        <f t="shared" si="64"/>
        <v>0</v>
      </c>
      <c r="BL38" s="26">
        <f t="shared" si="64"/>
        <v>0</v>
      </c>
      <c r="BM38" s="26">
        <f t="shared" si="65"/>
        <v>0</v>
      </c>
      <c r="BN38" s="26">
        <f t="shared" si="66"/>
        <v>0</v>
      </c>
      <c r="BO38" s="15">
        <f t="shared" si="8"/>
        <v>0</v>
      </c>
      <c r="BP38" s="20"/>
      <c r="BQ38" s="18"/>
    </row>
    <row r="39" spans="1:69" s="19" customFormat="1" ht="15">
      <c r="A39" s="21">
        <v>2056</v>
      </c>
      <c r="B39" s="2" t="s">
        <v>239</v>
      </c>
      <c r="C39" s="31">
        <v>2.26</v>
      </c>
      <c r="D39" s="31">
        <v>0.35</v>
      </c>
      <c r="E39" s="32">
        <v>0</v>
      </c>
      <c r="F39" s="32">
        <v>0</v>
      </c>
      <c r="G39" s="15">
        <f t="shared" si="67"/>
        <v>2.61</v>
      </c>
      <c r="H39" s="1">
        <v>2.61</v>
      </c>
      <c r="I39" s="26">
        <v>0.01</v>
      </c>
      <c r="J39" s="26">
        <v>0</v>
      </c>
      <c r="K39" s="32">
        <v>0</v>
      </c>
      <c r="L39" s="15">
        <f t="shared" si="53"/>
        <v>2.6199999999999997</v>
      </c>
      <c r="M39" s="26">
        <v>4.3</v>
      </c>
      <c r="N39" s="26">
        <v>0.28</v>
      </c>
      <c r="O39" s="26">
        <v>0</v>
      </c>
      <c r="P39" s="32">
        <v>0</v>
      </c>
      <c r="Q39" s="25">
        <f t="shared" si="19"/>
        <v>4.58</v>
      </c>
      <c r="R39" s="26">
        <v>3.97</v>
      </c>
      <c r="S39" s="26">
        <v>0</v>
      </c>
      <c r="T39" s="26">
        <v>0</v>
      </c>
      <c r="U39" s="32">
        <v>0</v>
      </c>
      <c r="V39" s="15">
        <f t="shared" si="9"/>
        <v>3.97</v>
      </c>
      <c r="W39" s="26">
        <v>4.35</v>
      </c>
      <c r="X39" s="26">
        <v>0</v>
      </c>
      <c r="Y39" s="26">
        <v>0</v>
      </c>
      <c r="Z39" s="32">
        <v>0</v>
      </c>
      <c r="AA39" s="15">
        <f t="shared" si="10"/>
        <v>4.35</v>
      </c>
      <c r="AB39" s="1">
        <v>4.71</v>
      </c>
      <c r="AC39" s="1"/>
      <c r="AD39" s="26">
        <v>0</v>
      </c>
      <c r="AE39" s="32">
        <v>0</v>
      </c>
      <c r="AF39" s="15">
        <f t="shared" si="11"/>
        <v>4.71</v>
      </c>
      <c r="AG39" s="1">
        <v>5.26</v>
      </c>
      <c r="AH39" s="26">
        <v>0</v>
      </c>
      <c r="AI39" s="26">
        <v>0</v>
      </c>
      <c r="AJ39" s="32">
        <v>0</v>
      </c>
      <c r="AK39" s="15">
        <f t="shared" si="2"/>
        <v>5.26</v>
      </c>
      <c r="AL39" s="26">
        <f t="shared" si="54"/>
        <v>6.00877894053705</v>
      </c>
      <c r="AM39" s="26">
        <f t="shared" si="54"/>
        <v>0</v>
      </c>
      <c r="AN39" s="26">
        <f t="shared" si="55"/>
        <v>0</v>
      </c>
      <c r="AO39" s="32">
        <v>0</v>
      </c>
      <c r="AP39" s="15">
        <f t="shared" si="3"/>
        <v>6.00877894053705</v>
      </c>
      <c r="AQ39" s="26">
        <f t="shared" si="56"/>
        <v>6.86414911715619</v>
      </c>
      <c r="AR39" s="26">
        <f t="shared" si="56"/>
        <v>0</v>
      </c>
      <c r="AS39" s="26">
        <f t="shared" si="57"/>
        <v>0</v>
      </c>
      <c r="AT39" s="32">
        <v>0</v>
      </c>
      <c r="AU39" s="15">
        <f t="shared" si="4"/>
        <v>6.86414911715619</v>
      </c>
      <c r="AV39" s="26">
        <f t="shared" si="58"/>
        <v>7.841284155869602</v>
      </c>
      <c r="AW39" s="26">
        <f t="shared" si="58"/>
        <v>0</v>
      </c>
      <c r="AX39" s="26">
        <f t="shared" si="59"/>
        <v>0</v>
      </c>
      <c r="AY39" s="26"/>
      <c r="AZ39" s="15">
        <f t="shared" si="15"/>
        <v>7.841284155869602</v>
      </c>
      <c r="BA39" s="26">
        <f t="shared" si="60"/>
        <v>8.957517700105724</v>
      </c>
      <c r="BB39" s="26">
        <f t="shared" si="60"/>
        <v>0</v>
      </c>
      <c r="BC39" s="26">
        <f t="shared" si="61"/>
        <v>0</v>
      </c>
      <c r="BD39" s="32">
        <v>0</v>
      </c>
      <c r="BE39" s="15">
        <f t="shared" si="6"/>
        <v>8.957517700105724</v>
      </c>
      <c r="BF39" s="26">
        <f t="shared" si="62"/>
        <v>10.232650896555732</v>
      </c>
      <c r="BG39" s="26">
        <f t="shared" si="62"/>
        <v>0</v>
      </c>
      <c r="BH39" s="26">
        <f t="shared" si="63"/>
        <v>0</v>
      </c>
      <c r="BI39" s="32">
        <v>0</v>
      </c>
      <c r="BJ39" s="15">
        <f t="shared" si="7"/>
        <v>10.232650896555732</v>
      </c>
      <c r="BK39" s="26">
        <f t="shared" si="64"/>
        <v>11.689303652679023</v>
      </c>
      <c r="BL39" s="26">
        <f t="shared" si="64"/>
        <v>0</v>
      </c>
      <c r="BM39" s="26">
        <f t="shared" si="65"/>
        <v>0</v>
      </c>
      <c r="BN39" s="26">
        <f t="shared" si="66"/>
        <v>0</v>
      </c>
      <c r="BO39" s="15">
        <f t="shared" si="8"/>
        <v>11.689303652679023</v>
      </c>
      <c r="BP39" s="20">
        <v>0.14235341074848876</v>
      </c>
      <c r="BQ39" s="18"/>
    </row>
    <row r="40" spans="1:69" s="19" customFormat="1" ht="15">
      <c r="A40" s="21">
        <v>102</v>
      </c>
      <c r="B40" s="2" t="s">
        <v>36</v>
      </c>
      <c r="C40" s="39">
        <v>0</v>
      </c>
      <c r="D40" s="26">
        <v>0</v>
      </c>
      <c r="E40" s="26">
        <v>0</v>
      </c>
      <c r="F40" s="26">
        <v>0</v>
      </c>
      <c r="G40" s="15">
        <f t="shared" si="67"/>
        <v>0</v>
      </c>
      <c r="H40" s="26">
        <v>0</v>
      </c>
      <c r="I40" s="26">
        <v>0</v>
      </c>
      <c r="J40" s="26">
        <v>0</v>
      </c>
      <c r="K40" s="26">
        <v>0</v>
      </c>
      <c r="L40" s="15">
        <f t="shared" si="53"/>
        <v>0</v>
      </c>
      <c r="M40" s="26">
        <v>0</v>
      </c>
      <c r="N40" s="26">
        <v>0</v>
      </c>
      <c r="O40" s="26">
        <v>0</v>
      </c>
      <c r="P40" s="26">
        <v>0</v>
      </c>
      <c r="Q40" s="25">
        <f t="shared" si="19"/>
        <v>0</v>
      </c>
      <c r="R40" s="26">
        <v>0</v>
      </c>
      <c r="S40" s="26">
        <v>0</v>
      </c>
      <c r="T40" s="26">
        <v>0</v>
      </c>
      <c r="U40" s="26">
        <v>0</v>
      </c>
      <c r="V40" s="15">
        <f t="shared" si="9"/>
        <v>0</v>
      </c>
      <c r="W40" s="26">
        <v>0.01</v>
      </c>
      <c r="X40" s="26">
        <v>0</v>
      </c>
      <c r="Y40" s="26">
        <v>0</v>
      </c>
      <c r="Z40" s="26">
        <v>0</v>
      </c>
      <c r="AA40" s="15">
        <f t="shared" si="10"/>
        <v>0.01</v>
      </c>
      <c r="AB40" s="26">
        <v>0.02</v>
      </c>
      <c r="AC40" s="26">
        <v>0</v>
      </c>
      <c r="AD40" s="26">
        <v>0</v>
      </c>
      <c r="AE40" s="26">
        <v>0</v>
      </c>
      <c r="AF40" s="15">
        <f t="shared" si="11"/>
        <v>0.02</v>
      </c>
      <c r="AG40" s="26">
        <v>0.02</v>
      </c>
      <c r="AH40" s="26">
        <v>0</v>
      </c>
      <c r="AI40" s="26">
        <v>0</v>
      </c>
      <c r="AJ40" s="26">
        <v>0</v>
      </c>
      <c r="AK40" s="15">
        <f t="shared" si="2"/>
        <v>0.02</v>
      </c>
      <c r="AL40" s="26">
        <f t="shared" si="54"/>
        <v>0.02</v>
      </c>
      <c r="AM40" s="26">
        <f t="shared" si="54"/>
        <v>0</v>
      </c>
      <c r="AN40" s="26">
        <f t="shared" si="55"/>
        <v>0</v>
      </c>
      <c r="AO40" s="26">
        <v>0</v>
      </c>
      <c r="AP40" s="15">
        <f t="shared" si="3"/>
        <v>0.02</v>
      </c>
      <c r="AQ40" s="26">
        <f t="shared" si="56"/>
        <v>0.02</v>
      </c>
      <c r="AR40" s="26">
        <f t="shared" si="56"/>
        <v>0</v>
      </c>
      <c r="AS40" s="26">
        <f t="shared" si="57"/>
        <v>0</v>
      </c>
      <c r="AT40" s="26">
        <v>0</v>
      </c>
      <c r="AU40" s="15">
        <f t="shared" si="4"/>
        <v>0.02</v>
      </c>
      <c r="AV40" s="26">
        <f t="shared" si="58"/>
        <v>0.02</v>
      </c>
      <c r="AW40" s="26">
        <f t="shared" si="58"/>
        <v>0</v>
      </c>
      <c r="AX40" s="26">
        <f t="shared" si="59"/>
        <v>0</v>
      </c>
      <c r="AY40" s="26"/>
      <c r="AZ40" s="15">
        <f t="shared" si="15"/>
        <v>0.02</v>
      </c>
      <c r="BA40" s="26">
        <f t="shared" si="60"/>
        <v>0.02</v>
      </c>
      <c r="BB40" s="26">
        <f t="shared" si="60"/>
        <v>0</v>
      </c>
      <c r="BC40" s="26">
        <f t="shared" si="61"/>
        <v>0</v>
      </c>
      <c r="BD40" s="26">
        <v>0</v>
      </c>
      <c r="BE40" s="15">
        <f t="shared" si="6"/>
        <v>0.02</v>
      </c>
      <c r="BF40" s="26">
        <f t="shared" si="62"/>
        <v>0.02</v>
      </c>
      <c r="BG40" s="26">
        <f t="shared" si="62"/>
        <v>0</v>
      </c>
      <c r="BH40" s="26">
        <f t="shared" si="63"/>
        <v>0</v>
      </c>
      <c r="BI40" s="26">
        <v>0</v>
      </c>
      <c r="BJ40" s="15">
        <f t="shared" si="7"/>
        <v>0.02</v>
      </c>
      <c r="BK40" s="26">
        <f t="shared" si="64"/>
        <v>0.02</v>
      </c>
      <c r="BL40" s="26">
        <f t="shared" si="64"/>
        <v>0</v>
      </c>
      <c r="BM40" s="26">
        <f t="shared" si="65"/>
        <v>0</v>
      </c>
      <c r="BN40" s="26">
        <f t="shared" si="66"/>
        <v>0</v>
      </c>
      <c r="BO40" s="15">
        <f t="shared" si="8"/>
        <v>0.02</v>
      </c>
      <c r="BP40" s="20"/>
      <c r="BQ40" s="18"/>
    </row>
    <row r="41" spans="1:69" s="19" customFormat="1" ht="15">
      <c r="A41" s="21"/>
      <c r="B41" s="2" t="s">
        <v>37</v>
      </c>
      <c r="C41" s="39">
        <v>0</v>
      </c>
      <c r="D41" s="26">
        <v>0</v>
      </c>
      <c r="E41" s="26">
        <v>0</v>
      </c>
      <c r="F41" s="26">
        <v>0</v>
      </c>
      <c r="G41" s="15">
        <f t="shared" si="67"/>
        <v>0</v>
      </c>
      <c r="H41" s="26">
        <v>0</v>
      </c>
      <c r="I41" s="26">
        <v>0</v>
      </c>
      <c r="J41" s="26">
        <v>0</v>
      </c>
      <c r="K41" s="26">
        <v>0</v>
      </c>
      <c r="L41" s="15">
        <f t="shared" si="53"/>
        <v>0</v>
      </c>
      <c r="M41" s="26">
        <v>0</v>
      </c>
      <c r="N41" s="26">
        <v>0</v>
      </c>
      <c r="O41" s="26">
        <v>0</v>
      </c>
      <c r="P41" s="26">
        <v>0</v>
      </c>
      <c r="Q41" s="25">
        <f t="shared" si="19"/>
        <v>0</v>
      </c>
      <c r="R41" s="26">
        <v>0</v>
      </c>
      <c r="S41" s="26">
        <v>0</v>
      </c>
      <c r="T41" s="26">
        <v>0</v>
      </c>
      <c r="U41" s="26">
        <v>0</v>
      </c>
      <c r="V41" s="15">
        <f t="shared" si="9"/>
        <v>0</v>
      </c>
      <c r="W41" s="26">
        <v>0</v>
      </c>
      <c r="X41" s="26">
        <v>0</v>
      </c>
      <c r="Y41" s="26">
        <v>0</v>
      </c>
      <c r="Z41" s="26">
        <v>0</v>
      </c>
      <c r="AA41" s="15">
        <f t="shared" si="10"/>
        <v>0</v>
      </c>
      <c r="AB41" s="26">
        <v>0</v>
      </c>
      <c r="AC41" s="26">
        <v>0</v>
      </c>
      <c r="AD41" s="26">
        <v>0</v>
      </c>
      <c r="AE41" s="26">
        <v>0</v>
      </c>
      <c r="AF41" s="15">
        <f t="shared" si="11"/>
        <v>0</v>
      </c>
      <c r="AG41" s="26">
        <v>0</v>
      </c>
      <c r="AH41" s="26">
        <v>0</v>
      </c>
      <c r="AI41" s="26">
        <v>0</v>
      </c>
      <c r="AJ41" s="26">
        <v>0</v>
      </c>
      <c r="AK41" s="15">
        <f t="shared" si="2"/>
        <v>0</v>
      </c>
      <c r="AL41" s="26">
        <f t="shared" si="54"/>
        <v>0</v>
      </c>
      <c r="AM41" s="26">
        <f t="shared" si="54"/>
        <v>0</v>
      </c>
      <c r="AN41" s="26">
        <f t="shared" si="55"/>
        <v>0</v>
      </c>
      <c r="AO41" s="26">
        <v>0</v>
      </c>
      <c r="AP41" s="15">
        <f t="shared" si="3"/>
        <v>0</v>
      </c>
      <c r="AQ41" s="26">
        <f t="shared" si="56"/>
        <v>0</v>
      </c>
      <c r="AR41" s="26">
        <f t="shared" si="56"/>
        <v>0</v>
      </c>
      <c r="AS41" s="26">
        <f t="shared" si="57"/>
        <v>0</v>
      </c>
      <c r="AT41" s="26">
        <v>0</v>
      </c>
      <c r="AU41" s="15">
        <f t="shared" si="4"/>
        <v>0</v>
      </c>
      <c r="AV41" s="26">
        <f t="shared" si="58"/>
        <v>0</v>
      </c>
      <c r="AW41" s="26">
        <f t="shared" si="58"/>
        <v>0</v>
      </c>
      <c r="AX41" s="26">
        <f t="shared" si="59"/>
        <v>0</v>
      </c>
      <c r="AY41" s="26"/>
      <c r="AZ41" s="15">
        <f t="shared" si="15"/>
        <v>0</v>
      </c>
      <c r="BA41" s="26">
        <f t="shared" si="60"/>
        <v>0</v>
      </c>
      <c r="BB41" s="26">
        <f t="shared" si="60"/>
        <v>0</v>
      </c>
      <c r="BC41" s="26">
        <f t="shared" si="61"/>
        <v>0</v>
      </c>
      <c r="BD41" s="26">
        <v>0</v>
      </c>
      <c r="BE41" s="15">
        <f t="shared" si="6"/>
        <v>0</v>
      </c>
      <c r="BF41" s="26">
        <f t="shared" si="62"/>
        <v>0</v>
      </c>
      <c r="BG41" s="26">
        <f t="shared" si="62"/>
        <v>0</v>
      </c>
      <c r="BH41" s="26">
        <f t="shared" si="63"/>
        <v>0</v>
      </c>
      <c r="BI41" s="26">
        <v>0</v>
      </c>
      <c r="BJ41" s="15">
        <f t="shared" si="7"/>
        <v>0</v>
      </c>
      <c r="BK41" s="26">
        <f t="shared" si="64"/>
        <v>0</v>
      </c>
      <c r="BL41" s="26">
        <f t="shared" si="64"/>
        <v>0</v>
      </c>
      <c r="BM41" s="26">
        <f t="shared" si="65"/>
        <v>0</v>
      </c>
      <c r="BN41" s="26">
        <f t="shared" si="66"/>
        <v>0</v>
      </c>
      <c r="BO41" s="15">
        <f t="shared" si="8"/>
        <v>0</v>
      </c>
      <c r="BP41" s="20"/>
      <c r="BQ41" s="18"/>
    </row>
    <row r="42" spans="1:69" s="19" customFormat="1" ht="15">
      <c r="A42" s="21">
        <v>2057</v>
      </c>
      <c r="B42" s="2" t="s">
        <v>168</v>
      </c>
      <c r="C42" s="39">
        <v>0</v>
      </c>
      <c r="D42" s="26">
        <v>0</v>
      </c>
      <c r="E42" s="26">
        <v>0</v>
      </c>
      <c r="F42" s="26">
        <v>0</v>
      </c>
      <c r="G42" s="15">
        <f t="shared" si="67"/>
        <v>0</v>
      </c>
      <c r="H42" s="26">
        <v>0</v>
      </c>
      <c r="I42" s="26">
        <v>0</v>
      </c>
      <c r="J42" s="26">
        <v>0</v>
      </c>
      <c r="K42" s="26">
        <v>0</v>
      </c>
      <c r="L42" s="15">
        <f t="shared" si="53"/>
        <v>0</v>
      </c>
      <c r="M42" s="26">
        <v>0</v>
      </c>
      <c r="N42" s="26">
        <v>0</v>
      </c>
      <c r="O42" s="26">
        <v>0</v>
      </c>
      <c r="P42" s="26">
        <v>0</v>
      </c>
      <c r="Q42" s="25">
        <f t="shared" si="19"/>
        <v>0</v>
      </c>
      <c r="R42" s="26">
        <v>0</v>
      </c>
      <c r="S42" s="26">
        <v>0</v>
      </c>
      <c r="T42" s="26">
        <v>0</v>
      </c>
      <c r="U42" s="26">
        <v>0</v>
      </c>
      <c r="V42" s="15">
        <f t="shared" si="9"/>
        <v>0</v>
      </c>
      <c r="W42" s="26">
        <v>0</v>
      </c>
      <c r="X42" s="26">
        <v>0</v>
      </c>
      <c r="Y42" s="26">
        <v>0</v>
      </c>
      <c r="Z42" s="26">
        <v>0</v>
      </c>
      <c r="AA42" s="15">
        <f t="shared" si="10"/>
        <v>0</v>
      </c>
      <c r="AB42" s="26">
        <v>0</v>
      </c>
      <c r="AC42" s="26">
        <v>0</v>
      </c>
      <c r="AD42" s="26">
        <v>0</v>
      </c>
      <c r="AE42" s="26">
        <v>0</v>
      </c>
      <c r="AF42" s="15">
        <f t="shared" si="11"/>
        <v>0</v>
      </c>
      <c r="AG42" s="26">
        <v>0</v>
      </c>
      <c r="AH42" s="26">
        <v>0</v>
      </c>
      <c r="AI42" s="26">
        <v>0</v>
      </c>
      <c r="AJ42" s="26">
        <v>0</v>
      </c>
      <c r="AK42" s="15">
        <f t="shared" si="2"/>
        <v>0</v>
      </c>
      <c r="AL42" s="26">
        <f t="shared" si="54"/>
        <v>0</v>
      </c>
      <c r="AM42" s="26">
        <f t="shared" si="54"/>
        <v>0</v>
      </c>
      <c r="AN42" s="26">
        <f t="shared" si="55"/>
        <v>0</v>
      </c>
      <c r="AO42" s="26">
        <v>0</v>
      </c>
      <c r="AP42" s="15">
        <f t="shared" si="3"/>
        <v>0</v>
      </c>
      <c r="AQ42" s="26">
        <f t="shared" si="56"/>
        <v>0</v>
      </c>
      <c r="AR42" s="26">
        <f t="shared" si="56"/>
        <v>0</v>
      </c>
      <c r="AS42" s="26">
        <f t="shared" si="57"/>
        <v>0</v>
      </c>
      <c r="AT42" s="26">
        <v>0</v>
      </c>
      <c r="AU42" s="15">
        <f t="shared" si="4"/>
        <v>0</v>
      </c>
      <c r="AV42" s="26">
        <f t="shared" si="58"/>
        <v>0</v>
      </c>
      <c r="AW42" s="26">
        <f t="shared" si="58"/>
        <v>0</v>
      </c>
      <c r="AX42" s="26">
        <f t="shared" si="59"/>
        <v>0</v>
      </c>
      <c r="AY42" s="26"/>
      <c r="AZ42" s="15">
        <f t="shared" si="15"/>
        <v>0</v>
      </c>
      <c r="BA42" s="26">
        <f t="shared" si="60"/>
        <v>0</v>
      </c>
      <c r="BB42" s="26">
        <f t="shared" si="60"/>
        <v>0</v>
      </c>
      <c r="BC42" s="26">
        <f t="shared" si="61"/>
        <v>0</v>
      </c>
      <c r="BD42" s="26">
        <v>0</v>
      </c>
      <c r="BE42" s="15">
        <f t="shared" si="6"/>
        <v>0</v>
      </c>
      <c r="BF42" s="26">
        <f t="shared" si="62"/>
        <v>0</v>
      </c>
      <c r="BG42" s="26">
        <f t="shared" si="62"/>
        <v>0</v>
      </c>
      <c r="BH42" s="26">
        <f t="shared" si="63"/>
        <v>0</v>
      </c>
      <c r="BI42" s="26">
        <v>0</v>
      </c>
      <c r="BJ42" s="15">
        <f t="shared" si="7"/>
        <v>0</v>
      </c>
      <c r="BK42" s="26">
        <f t="shared" si="64"/>
        <v>0</v>
      </c>
      <c r="BL42" s="26">
        <f t="shared" si="64"/>
        <v>0</v>
      </c>
      <c r="BM42" s="26">
        <f t="shared" si="65"/>
        <v>0</v>
      </c>
      <c r="BN42" s="26">
        <f t="shared" si="66"/>
        <v>0</v>
      </c>
      <c r="BO42" s="15">
        <f t="shared" si="8"/>
        <v>0</v>
      </c>
      <c r="BP42" s="20"/>
      <c r="BQ42" s="18"/>
    </row>
    <row r="43" spans="1:69" s="19" customFormat="1" ht="15">
      <c r="A43" s="21">
        <v>2058</v>
      </c>
      <c r="B43" s="2" t="s">
        <v>169</v>
      </c>
      <c r="C43" s="22">
        <v>2.11</v>
      </c>
      <c r="D43" s="1">
        <v>1.15</v>
      </c>
      <c r="E43" s="26">
        <v>0</v>
      </c>
      <c r="F43" s="26">
        <v>0</v>
      </c>
      <c r="G43" s="15">
        <f t="shared" si="67"/>
        <v>3.26</v>
      </c>
      <c r="H43" s="1">
        <v>2.48</v>
      </c>
      <c r="I43" s="26">
        <v>1.19</v>
      </c>
      <c r="J43" s="26">
        <v>0</v>
      </c>
      <c r="K43" s="26">
        <v>0</v>
      </c>
      <c r="L43" s="15">
        <f t="shared" si="53"/>
        <v>3.67</v>
      </c>
      <c r="M43" s="26">
        <v>4.28</v>
      </c>
      <c r="N43" s="26">
        <v>1.52</v>
      </c>
      <c r="O43" s="26">
        <v>0</v>
      </c>
      <c r="P43" s="26">
        <v>0</v>
      </c>
      <c r="Q43" s="25">
        <f t="shared" si="19"/>
        <v>5.800000000000001</v>
      </c>
      <c r="R43" s="26">
        <v>3.83</v>
      </c>
      <c r="S43" s="26">
        <v>1.25</v>
      </c>
      <c r="T43" s="26">
        <v>0</v>
      </c>
      <c r="U43" s="26">
        <v>0</v>
      </c>
      <c r="V43" s="15">
        <f t="shared" si="9"/>
        <v>5.08</v>
      </c>
      <c r="W43" s="26">
        <v>4.07</v>
      </c>
      <c r="X43" s="26">
        <v>1.51</v>
      </c>
      <c r="Y43" s="26">
        <v>0</v>
      </c>
      <c r="Z43" s="26">
        <v>0</v>
      </c>
      <c r="AA43" s="15">
        <f t="shared" si="10"/>
        <v>5.58</v>
      </c>
      <c r="AB43" s="1">
        <v>4.71</v>
      </c>
      <c r="AC43" s="1">
        <v>1.38</v>
      </c>
      <c r="AD43" s="26">
        <v>0</v>
      </c>
      <c r="AE43" s="26">
        <v>0</v>
      </c>
      <c r="AF43" s="15">
        <f t="shared" si="11"/>
        <v>6.09</v>
      </c>
      <c r="AG43" s="1">
        <v>5.04</v>
      </c>
      <c r="AH43" s="26">
        <v>1.77</v>
      </c>
      <c r="AI43" s="26">
        <v>0</v>
      </c>
      <c r="AJ43" s="26">
        <v>0</v>
      </c>
      <c r="AK43" s="15">
        <f t="shared" si="2"/>
        <v>6.8100000000000005</v>
      </c>
      <c r="AL43" s="26">
        <f t="shared" si="54"/>
        <v>5.781810718393059</v>
      </c>
      <c r="AM43" s="26">
        <f t="shared" si="54"/>
        <v>1.94707399443734</v>
      </c>
      <c r="AN43" s="26">
        <f t="shared" si="55"/>
        <v>0</v>
      </c>
      <c r="AO43" s="26">
        <v>0</v>
      </c>
      <c r="AP43" s="15">
        <f t="shared" si="3"/>
        <v>7.728884712830399</v>
      </c>
      <c r="AQ43" s="26">
        <f t="shared" si="56"/>
        <v>6.632804599866043</v>
      </c>
      <c r="AR43" s="26">
        <f t="shared" si="56"/>
        <v>2.1418627908554684</v>
      </c>
      <c r="AS43" s="26">
        <f t="shared" si="57"/>
        <v>0</v>
      </c>
      <c r="AT43" s="26">
        <v>0</v>
      </c>
      <c r="AU43" s="15">
        <f t="shared" si="4"/>
        <v>8.774667390721511</v>
      </c>
      <c r="AV43" s="26">
        <f t="shared" si="58"/>
        <v>7.609051731847673</v>
      </c>
      <c r="AW43" s="26">
        <f t="shared" si="58"/>
        <v>2.3561386100156305</v>
      </c>
      <c r="AX43" s="26">
        <f t="shared" si="59"/>
        <v>0</v>
      </c>
      <c r="AY43" s="26"/>
      <c r="AZ43" s="15">
        <f t="shared" si="15"/>
        <v>9.965190341863304</v>
      </c>
      <c r="BA43" s="26">
        <f t="shared" si="60"/>
        <v>8.728987472223045</v>
      </c>
      <c r="BB43" s="26">
        <f t="shared" si="60"/>
        <v>2.591850968842472</v>
      </c>
      <c r="BC43" s="26">
        <f t="shared" si="61"/>
        <v>0</v>
      </c>
      <c r="BD43" s="26">
        <v>0</v>
      </c>
      <c r="BE43" s="15">
        <f t="shared" si="6"/>
        <v>11.320838441065517</v>
      </c>
      <c r="BF43" s="26">
        <f t="shared" si="62"/>
        <v>10.013760580876575</v>
      </c>
      <c r="BG43" s="26">
        <f t="shared" si="62"/>
        <v>2.851144417452204</v>
      </c>
      <c r="BH43" s="26">
        <f t="shared" si="63"/>
        <v>0</v>
      </c>
      <c r="BI43" s="26">
        <v>0</v>
      </c>
      <c r="BJ43" s="15">
        <f t="shared" si="7"/>
        <v>12.864904998328779</v>
      </c>
      <c r="BK43" s="26">
        <f t="shared" si="64"/>
        <v>11.487632590859937</v>
      </c>
      <c r="BL43" s="26">
        <f t="shared" si="64"/>
        <v>3.1363780506250767</v>
      </c>
      <c r="BM43" s="26">
        <f t="shared" si="65"/>
        <v>0</v>
      </c>
      <c r="BN43" s="26">
        <f t="shared" si="66"/>
        <v>0</v>
      </c>
      <c r="BO43" s="15">
        <f t="shared" si="8"/>
        <v>14.624010641485013</v>
      </c>
      <c r="BP43" s="20">
        <v>0.14718466634782915</v>
      </c>
      <c r="BQ43" s="18">
        <v>0.10004180476685874</v>
      </c>
    </row>
    <row r="44" spans="1:69" s="19" customFormat="1" ht="30">
      <c r="A44" s="21">
        <v>2070</v>
      </c>
      <c r="B44" s="2" t="s">
        <v>170</v>
      </c>
      <c r="C44" s="22">
        <v>12.95</v>
      </c>
      <c r="D44" s="1">
        <f>5.07+E44</f>
        <v>5.24</v>
      </c>
      <c r="E44" s="1">
        <v>0.17</v>
      </c>
      <c r="F44" s="26">
        <v>0</v>
      </c>
      <c r="G44" s="15">
        <f t="shared" si="67"/>
        <v>18.189999999999998</v>
      </c>
      <c r="H44" s="1">
        <v>29.2</v>
      </c>
      <c r="I44" s="26">
        <f>5.17+J44</f>
        <v>5.21</v>
      </c>
      <c r="J44" s="26">
        <v>0.04</v>
      </c>
      <c r="K44" s="26">
        <v>0</v>
      </c>
      <c r="L44" s="15">
        <f t="shared" si="53"/>
        <v>34.41</v>
      </c>
      <c r="M44" s="26">
        <v>17.12</v>
      </c>
      <c r="N44" s="26">
        <f>29.9+O44</f>
        <v>30.259999999999998</v>
      </c>
      <c r="O44" s="26">
        <v>0.36</v>
      </c>
      <c r="P44" s="26">
        <v>0</v>
      </c>
      <c r="Q44" s="25">
        <f t="shared" si="19"/>
        <v>47.379999999999995</v>
      </c>
      <c r="R44" s="26">
        <v>14.85</v>
      </c>
      <c r="S44" s="26">
        <f>17.03+T44</f>
        <v>17.740000000000002</v>
      </c>
      <c r="T44" s="26">
        <v>0.71</v>
      </c>
      <c r="U44" s="26">
        <v>0</v>
      </c>
      <c r="V44" s="15">
        <f t="shared" si="9"/>
        <v>32.59</v>
      </c>
      <c r="W44" s="26">
        <v>10.67</v>
      </c>
      <c r="X44" s="26">
        <f>23.09+Y44</f>
        <v>23.24</v>
      </c>
      <c r="Y44" s="26">
        <v>0.15</v>
      </c>
      <c r="Z44" s="26">
        <v>0</v>
      </c>
      <c r="AA44" s="15">
        <f t="shared" si="10"/>
        <v>33.91</v>
      </c>
      <c r="AB44" s="1">
        <v>20.85</v>
      </c>
      <c r="AC44" s="1">
        <v>25.54</v>
      </c>
      <c r="AD44" s="26">
        <v>0.62</v>
      </c>
      <c r="AE44" s="26"/>
      <c r="AF44" s="15">
        <f t="shared" si="11"/>
        <v>46.39</v>
      </c>
      <c r="AG44" s="1">
        <v>23.6</v>
      </c>
      <c r="AH44" s="26">
        <v>38.65</v>
      </c>
      <c r="AI44" s="26">
        <f>0.01+0.23</f>
        <v>0.24000000000000002</v>
      </c>
      <c r="AJ44" s="26">
        <v>0</v>
      </c>
      <c r="AK44" s="15">
        <f t="shared" si="2"/>
        <v>62.25</v>
      </c>
      <c r="AL44" s="26">
        <f t="shared" si="54"/>
        <v>24.15772685390308</v>
      </c>
      <c r="AM44" s="26">
        <f t="shared" si="54"/>
        <v>42.998125</v>
      </c>
      <c r="AN44" s="26">
        <f t="shared" si="55"/>
        <v>0.267</v>
      </c>
      <c r="AO44" s="26">
        <v>0</v>
      </c>
      <c r="AP44" s="15">
        <f t="shared" si="3"/>
        <v>67.15585185390307</v>
      </c>
      <c r="AQ44" s="26">
        <f t="shared" si="56"/>
        <v>24.728634184228383</v>
      </c>
      <c r="AR44" s="26">
        <f t="shared" si="56"/>
        <v>47.8354140625</v>
      </c>
      <c r="AS44" s="26">
        <f t="shared" si="57"/>
        <v>0.2970375</v>
      </c>
      <c r="AT44" s="26">
        <v>0</v>
      </c>
      <c r="AU44" s="15">
        <f t="shared" si="4"/>
        <v>72.56404824672839</v>
      </c>
      <c r="AV44" s="26">
        <f t="shared" si="58"/>
        <v>25.31303347850337</v>
      </c>
      <c r="AW44" s="26">
        <f t="shared" si="58"/>
        <v>53.21689814453125</v>
      </c>
      <c r="AX44" s="26">
        <f t="shared" si="59"/>
        <v>0.33045421875000003</v>
      </c>
      <c r="AY44" s="26"/>
      <c r="AZ44" s="15">
        <f t="shared" si="15"/>
        <v>78.52993162303463</v>
      </c>
      <c r="BA44" s="26">
        <f t="shared" si="60"/>
        <v>25.911243585482563</v>
      </c>
      <c r="BB44" s="26">
        <f t="shared" si="60"/>
        <v>59.20379918579101</v>
      </c>
      <c r="BC44" s="26">
        <f t="shared" si="61"/>
        <v>0.36763031835937504</v>
      </c>
      <c r="BD44" s="26">
        <v>0</v>
      </c>
      <c r="BE44" s="15">
        <f t="shared" si="6"/>
        <v>85.11504277127358</v>
      </c>
      <c r="BF44" s="26">
        <f t="shared" si="62"/>
        <v>26.52359088911169</v>
      </c>
      <c r="BG44" s="26">
        <f t="shared" si="62"/>
        <v>65.8642265941925</v>
      </c>
      <c r="BH44" s="26">
        <f t="shared" si="63"/>
        <v>0.4089887291748047</v>
      </c>
      <c r="BI44" s="26">
        <v>0</v>
      </c>
      <c r="BJ44" s="15">
        <f t="shared" si="7"/>
        <v>92.38781748330419</v>
      </c>
      <c r="BK44" s="26">
        <f t="shared" si="64"/>
        <v>27.15040948660307</v>
      </c>
      <c r="BL44" s="26">
        <f t="shared" si="64"/>
        <v>73.27395208603916</v>
      </c>
      <c r="BM44" s="26">
        <f t="shared" si="65"/>
        <v>0.4549999612069703</v>
      </c>
      <c r="BN44" s="26">
        <f t="shared" si="66"/>
        <v>0</v>
      </c>
      <c r="BO44" s="15">
        <f t="shared" si="8"/>
        <v>100.42436157264223</v>
      </c>
      <c r="BP44" s="20">
        <v>0.023632493809452343</v>
      </c>
      <c r="BQ44" s="18">
        <v>0.1125</v>
      </c>
    </row>
    <row r="45" spans="1:69" s="16" customFormat="1" ht="30">
      <c r="A45" s="13" t="s">
        <v>38</v>
      </c>
      <c r="B45" s="14" t="s">
        <v>39</v>
      </c>
      <c r="C45" s="34">
        <f>C46+C52</f>
        <v>1256.42</v>
      </c>
      <c r="D45" s="34">
        <f aca="true" t="shared" si="68" ref="D45:BN45">D46+D52</f>
        <v>9.19</v>
      </c>
      <c r="E45" s="34">
        <f t="shared" si="68"/>
        <v>0</v>
      </c>
      <c r="F45" s="34">
        <f>F46+F52</f>
        <v>0</v>
      </c>
      <c r="G45" s="34">
        <f t="shared" si="68"/>
        <v>1265.6100000000001</v>
      </c>
      <c r="H45" s="34">
        <f t="shared" si="68"/>
        <v>975.36</v>
      </c>
      <c r="I45" s="34">
        <f t="shared" si="68"/>
        <v>0</v>
      </c>
      <c r="J45" s="34">
        <f t="shared" si="68"/>
        <v>0</v>
      </c>
      <c r="K45" s="34">
        <f t="shared" si="68"/>
        <v>0</v>
      </c>
      <c r="L45" s="34">
        <f t="shared" si="68"/>
        <v>975.36</v>
      </c>
      <c r="M45" s="34">
        <f t="shared" si="68"/>
        <v>1039.8</v>
      </c>
      <c r="N45" s="34">
        <f t="shared" si="68"/>
        <v>0</v>
      </c>
      <c r="O45" s="34">
        <f t="shared" si="68"/>
        <v>0</v>
      </c>
      <c r="P45" s="34">
        <f>P46+P52</f>
        <v>0</v>
      </c>
      <c r="Q45" s="34">
        <f t="shared" si="68"/>
        <v>1039.8</v>
      </c>
      <c r="R45" s="34">
        <f t="shared" si="68"/>
        <v>1062.0700000000002</v>
      </c>
      <c r="S45" s="34">
        <f t="shared" si="68"/>
        <v>0</v>
      </c>
      <c r="T45" s="34">
        <f t="shared" si="68"/>
        <v>0</v>
      </c>
      <c r="U45" s="34">
        <f>U46+U52</f>
        <v>0</v>
      </c>
      <c r="V45" s="34">
        <f t="shared" si="68"/>
        <v>1062.0700000000002</v>
      </c>
      <c r="W45" s="34">
        <f t="shared" si="68"/>
        <v>981.33</v>
      </c>
      <c r="X45" s="34">
        <f t="shared" si="68"/>
        <v>0</v>
      </c>
      <c r="Y45" s="34">
        <f t="shared" si="68"/>
        <v>0</v>
      </c>
      <c r="Z45" s="34">
        <f t="shared" si="68"/>
        <v>0</v>
      </c>
      <c r="AA45" s="34">
        <f t="shared" si="68"/>
        <v>981.33</v>
      </c>
      <c r="AB45" s="34">
        <f t="shared" si="68"/>
        <v>983.5699999999999</v>
      </c>
      <c r="AC45" s="34">
        <f t="shared" si="68"/>
        <v>0</v>
      </c>
      <c r="AD45" s="34">
        <f t="shared" si="68"/>
        <v>0</v>
      </c>
      <c r="AE45" s="34">
        <f>AE46+AE52</f>
        <v>0</v>
      </c>
      <c r="AF45" s="34">
        <f t="shared" si="68"/>
        <v>983.5699999999999</v>
      </c>
      <c r="AG45" s="34">
        <f t="shared" si="68"/>
        <v>1029.72</v>
      </c>
      <c r="AH45" s="34">
        <f t="shared" si="68"/>
        <v>0</v>
      </c>
      <c r="AI45" s="34">
        <f t="shared" si="68"/>
        <v>0</v>
      </c>
      <c r="AJ45" s="34">
        <f t="shared" si="68"/>
        <v>0</v>
      </c>
      <c r="AK45" s="15">
        <f t="shared" si="2"/>
        <v>1029.72</v>
      </c>
      <c r="AL45" s="34">
        <f t="shared" si="68"/>
        <v>1201.12654</v>
      </c>
      <c r="AM45" s="34">
        <f t="shared" si="68"/>
        <v>0</v>
      </c>
      <c r="AN45" s="34">
        <f t="shared" si="68"/>
        <v>0</v>
      </c>
      <c r="AO45" s="34">
        <f>AO46+AO52</f>
        <v>0</v>
      </c>
      <c r="AP45" s="34">
        <f t="shared" si="68"/>
        <v>1201.12654</v>
      </c>
      <c r="AQ45" s="34">
        <f>AQ46+AQ52</f>
        <v>1317.31341</v>
      </c>
      <c r="AR45" s="34">
        <f t="shared" si="68"/>
        <v>0</v>
      </c>
      <c r="AS45" s="34">
        <f t="shared" si="68"/>
        <v>0</v>
      </c>
      <c r="AT45" s="34">
        <f t="shared" si="68"/>
        <v>0</v>
      </c>
      <c r="AU45" s="34">
        <f>AQ45+AR45</f>
        <v>1317.31341</v>
      </c>
      <c r="AV45" s="34">
        <f aca="true" t="shared" si="69" ref="AV45:BA45">AV46+AV52</f>
        <v>1311.6898</v>
      </c>
      <c r="AW45" s="34">
        <f t="shared" si="69"/>
        <v>0</v>
      </c>
      <c r="AX45" s="34">
        <f t="shared" si="69"/>
        <v>0</v>
      </c>
      <c r="AY45" s="34">
        <f t="shared" si="69"/>
        <v>0</v>
      </c>
      <c r="AZ45" s="34">
        <f t="shared" si="69"/>
        <v>1311.6898</v>
      </c>
      <c r="BA45" s="34">
        <f t="shared" si="69"/>
        <v>1364.68077</v>
      </c>
      <c r="BB45" s="34">
        <f t="shared" si="68"/>
        <v>0</v>
      </c>
      <c r="BC45" s="34">
        <f t="shared" si="68"/>
        <v>0</v>
      </c>
      <c r="BD45" s="34">
        <f t="shared" si="68"/>
        <v>0</v>
      </c>
      <c r="BE45" s="34">
        <f>BA45+BB45</f>
        <v>1364.68077</v>
      </c>
      <c r="BF45" s="34">
        <f>BF46+BF52</f>
        <v>1293.65848</v>
      </c>
      <c r="BG45" s="34">
        <f t="shared" si="68"/>
        <v>0</v>
      </c>
      <c r="BH45" s="34">
        <f t="shared" si="68"/>
        <v>0</v>
      </c>
      <c r="BI45" s="34">
        <f t="shared" si="68"/>
        <v>0</v>
      </c>
      <c r="BJ45" s="34">
        <f>BF45+BG45</f>
        <v>1293.65848</v>
      </c>
      <c r="BK45" s="34">
        <f>BK46+BK52</f>
        <v>1460.925225</v>
      </c>
      <c r="BL45" s="34">
        <f t="shared" si="68"/>
        <v>0</v>
      </c>
      <c r="BM45" s="34">
        <f t="shared" si="68"/>
        <v>0</v>
      </c>
      <c r="BN45" s="34">
        <f t="shared" si="68"/>
        <v>0</v>
      </c>
      <c r="BO45" s="34">
        <f>BK45+BL45</f>
        <v>1460.925225</v>
      </c>
      <c r="BP45" s="17">
        <v>0.04549017128496601</v>
      </c>
      <c r="BQ45" s="18"/>
    </row>
    <row r="46" spans="1:69" s="19" customFormat="1" ht="45">
      <c r="A46" s="21">
        <v>2071</v>
      </c>
      <c r="B46" s="2" t="s">
        <v>240</v>
      </c>
      <c r="C46" s="31">
        <f>50.11+0.09</f>
        <v>50.2</v>
      </c>
      <c r="D46" s="40">
        <v>0</v>
      </c>
      <c r="E46" s="40">
        <v>0</v>
      </c>
      <c r="F46" s="40">
        <v>0</v>
      </c>
      <c r="G46" s="15">
        <f t="shared" si="67"/>
        <v>50.2</v>
      </c>
      <c r="H46" s="1">
        <f>0.29+59.17</f>
        <v>59.46</v>
      </c>
      <c r="I46" s="26">
        <v>0</v>
      </c>
      <c r="J46" s="26">
        <v>0</v>
      </c>
      <c r="K46" s="40">
        <v>0</v>
      </c>
      <c r="L46" s="15">
        <f aca="true" t="shared" si="70" ref="L46:L54">H46+I46</f>
        <v>59.46</v>
      </c>
      <c r="M46" s="26">
        <f>0.33+125.42</f>
        <v>125.75</v>
      </c>
      <c r="N46" s="26">
        <v>0</v>
      </c>
      <c r="O46" s="26">
        <v>0</v>
      </c>
      <c r="P46" s="40">
        <v>0</v>
      </c>
      <c r="Q46" s="25">
        <f t="shared" si="19"/>
        <v>125.75</v>
      </c>
      <c r="R46" s="26">
        <v>160.13</v>
      </c>
      <c r="S46" s="26">
        <v>0</v>
      </c>
      <c r="T46" s="26">
        <v>0</v>
      </c>
      <c r="U46" s="40">
        <v>0</v>
      </c>
      <c r="V46" s="15">
        <f t="shared" si="9"/>
        <v>160.13</v>
      </c>
      <c r="W46" s="26">
        <v>173.76</v>
      </c>
      <c r="X46" s="26">
        <v>0</v>
      </c>
      <c r="Y46" s="26">
        <v>0</v>
      </c>
      <c r="Z46" s="40">
        <v>0</v>
      </c>
      <c r="AA46" s="15">
        <f t="shared" si="10"/>
        <v>173.76</v>
      </c>
      <c r="AB46" s="1">
        <v>239.66</v>
      </c>
      <c r="AC46" s="23">
        <v>0</v>
      </c>
      <c r="AD46" s="23">
        <v>0</v>
      </c>
      <c r="AE46" s="40">
        <v>0</v>
      </c>
      <c r="AF46" s="15">
        <f t="shared" si="11"/>
        <v>239.66</v>
      </c>
      <c r="AG46" s="1">
        <f>283.57</f>
        <v>283.57</v>
      </c>
      <c r="AH46" s="23">
        <v>0</v>
      </c>
      <c r="AI46" s="23">
        <v>0</v>
      </c>
      <c r="AJ46" s="40">
        <v>0</v>
      </c>
      <c r="AK46" s="15">
        <f t="shared" si="2"/>
        <v>283.57</v>
      </c>
      <c r="AL46" s="26">
        <v>455.15</v>
      </c>
      <c r="AM46" s="26">
        <f aca="true" t="shared" si="71" ref="AL46:AM54">AH46+(AH46*BQ46)</f>
        <v>0</v>
      </c>
      <c r="AN46" s="26">
        <f aca="true" t="shared" si="72" ref="AN46:AN54">AI46+(AI46*BQ46)</f>
        <v>0</v>
      </c>
      <c r="AO46" s="40">
        <v>0</v>
      </c>
      <c r="AP46" s="15">
        <f t="shared" si="3"/>
        <v>455.15</v>
      </c>
      <c r="AQ46" s="26">
        <v>559.56</v>
      </c>
      <c r="AR46" s="26">
        <f aca="true" t="shared" si="73" ref="AQ46:AR54">AM46+(AM46*BQ46)</f>
        <v>0</v>
      </c>
      <c r="AS46" s="26">
        <f aca="true" t="shared" si="74" ref="AS46:AS54">AN46+(AN46*BQ46)</f>
        <v>0</v>
      </c>
      <c r="AT46" s="40">
        <v>0</v>
      </c>
      <c r="AU46" s="15">
        <f t="shared" si="4"/>
        <v>559.56</v>
      </c>
      <c r="AV46" s="26">
        <v>546.7</v>
      </c>
      <c r="AW46" s="26">
        <f aca="true" t="shared" si="75" ref="AV46:AW54">AR46+(AR46*BQ46)</f>
        <v>0</v>
      </c>
      <c r="AX46" s="26">
        <f aca="true" t="shared" si="76" ref="AX46:AX54">AS46+(AS46*BQ46)</f>
        <v>0</v>
      </c>
      <c r="AY46" s="26"/>
      <c r="AZ46" s="15">
        <f t="shared" si="15"/>
        <v>546.7</v>
      </c>
      <c r="BA46" s="26">
        <v>591.36</v>
      </c>
      <c r="BB46" s="26">
        <f aca="true" t="shared" si="77" ref="BA46:BB54">AW46+(AW46*BQ46)</f>
        <v>0</v>
      </c>
      <c r="BC46" s="26">
        <f aca="true" t="shared" si="78" ref="BC46:BC54">AX46+(AX46*BQ46)</f>
        <v>0</v>
      </c>
      <c r="BD46" s="40">
        <v>0</v>
      </c>
      <c r="BE46" s="15">
        <f t="shared" si="6"/>
        <v>591.36</v>
      </c>
      <c r="BF46" s="26">
        <v>510.75</v>
      </c>
      <c r="BG46" s="26">
        <f aca="true" t="shared" si="79" ref="BF46:BG54">BB46+(BB46*BQ46)</f>
        <v>0</v>
      </c>
      <c r="BH46" s="26">
        <f aca="true" t="shared" si="80" ref="BH46:BH54">BC46+(BC46*BQ46)</f>
        <v>0</v>
      </c>
      <c r="BI46" s="40">
        <v>0</v>
      </c>
      <c r="BJ46" s="15">
        <f t="shared" si="7"/>
        <v>510.75</v>
      </c>
      <c r="BK46" s="41">
        <v>667</v>
      </c>
      <c r="BL46" s="26">
        <f aca="true" t="shared" si="81" ref="BK46:BL54">BG46+(BG46*BQ46)</f>
        <v>0</v>
      </c>
      <c r="BM46" s="26">
        <f aca="true" t="shared" si="82" ref="BM46:BM54">BH46+(BH46*BQ46)</f>
        <v>0</v>
      </c>
      <c r="BN46" s="26">
        <f aca="true" t="shared" si="83" ref="BN46:BN54">BI46+(BI46*BU46)</f>
        <v>0</v>
      </c>
      <c r="BO46" s="15">
        <f t="shared" si="8"/>
        <v>667</v>
      </c>
      <c r="BP46" s="20">
        <v>0.028730851881638556</v>
      </c>
      <c r="BQ46" s="18"/>
    </row>
    <row r="47" spans="1:69" s="19" customFormat="1" ht="30">
      <c r="A47" s="21">
        <v>101</v>
      </c>
      <c r="B47" s="2" t="s">
        <v>40</v>
      </c>
      <c r="C47" s="22">
        <v>18.11</v>
      </c>
      <c r="D47" s="40">
        <v>0</v>
      </c>
      <c r="E47" s="40">
        <v>0</v>
      </c>
      <c r="F47" s="40">
        <v>0</v>
      </c>
      <c r="G47" s="15">
        <f t="shared" si="67"/>
        <v>18.11</v>
      </c>
      <c r="H47" s="1">
        <v>21.98</v>
      </c>
      <c r="I47" s="26">
        <v>0</v>
      </c>
      <c r="J47" s="26">
        <v>0</v>
      </c>
      <c r="K47" s="40">
        <v>0</v>
      </c>
      <c r="L47" s="15">
        <f t="shared" si="70"/>
        <v>21.98</v>
      </c>
      <c r="M47" s="26">
        <v>45.36</v>
      </c>
      <c r="N47" s="26">
        <v>0</v>
      </c>
      <c r="O47" s="26">
        <v>0</v>
      </c>
      <c r="P47" s="40">
        <v>0</v>
      </c>
      <c r="Q47" s="25">
        <f t="shared" si="19"/>
        <v>45.36</v>
      </c>
      <c r="R47" s="26">
        <v>49.68</v>
      </c>
      <c r="S47" s="26">
        <v>0</v>
      </c>
      <c r="T47" s="26">
        <v>0</v>
      </c>
      <c r="U47" s="40">
        <v>0</v>
      </c>
      <c r="V47" s="15">
        <f t="shared" si="9"/>
        <v>49.68</v>
      </c>
      <c r="W47" s="26">
        <v>56.05</v>
      </c>
      <c r="X47" s="26">
        <v>0</v>
      </c>
      <c r="Y47" s="26">
        <v>0</v>
      </c>
      <c r="Z47" s="40">
        <v>0</v>
      </c>
      <c r="AA47" s="15">
        <f t="shared" si="10"/>
        <v>56.05</v>
      </c>
      <c r="AB47" s="1">
        <v>69</v>
      </c>
      <c r="AC47" s="23">
        <v>0</v>
      </c>
      <c r="AD47" s="23">
        <v>0</v>
      </c>
      <c r="AE47" s="40">
        <v>0</v>
      </c>
      <c r="AF47" s="15">
        <f t="shared" si="11"/>
        <v>69</v>
      </c>
      <c r="AG47" s="1">
        <v>96.69</v>
      </c>
      <c r="AH47" s="23">
        <v>0</v>
      </c>
      <c r="AI47" s="23">
        <v>0</v>
      </c>
      <c r="AJ47" s="40">
        <v>0</v>
      </c>
      <c r="AK47" s="15">
        <f t="shared" si="2"/>
        <v>96.69</v>
      </c>
      <c r="AL47" s="26">
        <v>155</v>
      </c>
      <c r="AM47" s="26">
        <f t="shared" si="71"/>
        <v>0</v>
      </c>
      <c r="AN47" s="26">
        <f t="shared" si="72"/>
        <v>0</v>
      </c>
      <c r="AO47" s="40">
        <v>0</v>
      </c>
      <c r="AP47" s="15">
        <f t="shared" si="3"/>
        <v>155</v>
      </c>
      <c r="AQ47" s="26">
        <v>190.8</v>
      </c>
      <c r="AR47" s="26">
        <f t="shared" si="73"/>
        <v>0</v>
      </c>
      <c r="AS47" s="26">
        <f t="shared" si="74"/>
        <v>0</v>
      </c>
      <c r="AT47" s="40">
        <v>0</v>
      </c>
      <c r="AU47" s="15">
        <f t="shared" si="4"/>
        <v>190.8</v>
      </c>
      <c r="AV47" s="26">
        <v>186.41</v>
      </c>
      <c r="AW47" s="26">
        <f t="shared" si="75"/>
        <v>0</v>
      </c>
      <c r="AX47" s="26">
        <f t="shared" si="76"/>
        <v>0</v>
      </c>
      <c r="AY47" s="26"/>
      <c r="AZ47" s="15">
        <f t="shared" si="15"/>
        <v>186.41</v>
      </c>
      <c r="BA47" s="26">
        <v>201.64</v>
      </c>
      <c r="BB47" s="26">
        <f t="shared" si="77"/>
        <v>0</v>
      </c>
      <c r="BC47" s="26">
        <f t="shared" si="78"/>
        <v>0</v>
      </c>
      <c r="BD47" s="40">
        <v>0</v>
      </c>
      <c r="BE47" s="15">
        <f t="shared" si="6"/>
        <v>201.64</v>
      </c>
      <c r="BF47" s="26">
        <v>174.15</v>
      </c>
      <c r="BG47" s="26">
        <f t="shared" si="79"/>
        <v>0</v>
      </c>
      <c r="BH47" s="26">
        <f t="shared" si="80"/>
        <v>0</v>
      </c>
      <c r="BI47" s="40">
        <v>0</v>
      </c>
      <c r="BJ47" s="15">
        <f t="shared" si="7"/>
        <v>174.15</v>
      </c>
      <c r="BK47" s="26">
        <v>227.43</v>
      </c>
      <c r="BL47" s="26">
        <f t="shared" si="81"/>
        <v>0</v>
      </c>
      <c r="BM47" s="26">
        <f t="shared" si="82"/>
        <v>0</v>
      </c>
      <c r="BN47" s="26">
        <f t="shared" si="83"/>
        <v>0</v>
      </c>
      <c r="BO47" s="15">
        <f t="shared" si="8"/>
        <v>227.43</v>
      </c>
      <c r="BP47" s="20">
        <v>0.028730851881638698</v>
      </c>
      <c r="BQ47" s="18"/>
    </row>
    <row r="48" spans="1:69" s="19" customFormat="1" ht="15">
      <c r="A48" s="21">
        <v>102</v>
      </c>
      <c r="B48" s="2" t="s">
        <v>41</v>
      </c>
      <c r="C48" s="22">
        <v>7.41</v>
      </c>
      <c r="D48" s="40">
        <v>0</v>
      </c>
      <c r="E48" s="40">
        <v>0</v>
      </c>
      <c r="F48" s="40">
        <v>0</v>
      </c>
      <c r="G48" s="15">
        <f t="shared" si="67"/>
        <v>7.41</v>
      </c>
      <c r="H48" s="1">
        <v>8</v>
      </c>
      <c r="I48" s="26">
        <v>0</v>
      </c>
      <c r="J48" s="26">
        <v>0</v>
      </c>
      <c r="K48" s="40">
        <v>0</v>
      </c>
      <c r="L48" s="15">
        <f t="shared" si="70"/>
        <v>8</v>
      </c>
      <c r="M48" s="26">
        <v>12.87</v>
      </c>
      <c r="N48" s="26">
        <v>0</v>
      </c>
      <c r="O48" s="26">
        <v>0</v>
      </c>
      <c r="P48" s="40">
        <v>0</v>
      </c>
      <c r="Q48" s="25">
        <f t="shared" si="19"/>
        <v>12.87</v>
      </c>
      <c r="R48" s="26">
        <v>20.44</v>
      </c>
      <c r="S48" s="26">
        <v>0</v>
      </c>
      <c r="T48" s="26">
        <v>0</v>
      </c>
      <c r="U48" s="40">
        <v>0</v>
      </c>
      <c r="V48" s="15">
        <f t="shared" si="9"/>
        <v>20.44</v>
      </c>
      <c r="W48" s="26">
        <v>21.13</v>
      </c>
      <c r="X48" s="26">
        <v>0</v>
      </c>
      <c r="Y48" s="26">
        <v>0</v>
      </c>
      <c r="Z48" s="40">
        <v>0</v>
      </c>
      <c r="AA48" s="15">
        <f t="shared" si="10"/>
        <v>21.13</v>
      </c>
      <c r="AB48" s="1">
        <v>38</v>
      </c>
      <c r="AC48" s="23">
        <v>0</v>
      </c>
      <c r="AD48" s="23">
        <v>0</v>
      </c>
      <c r="AE48" s="40">
        <v>0</v>
      </c>
      <c r="AF48" s="15">
        <f t="shared" si="11"/>
        <v>38</v>
      </c>
      <c r="AG48" s="1">
        <v>34.5</v>
      </c>
      <c r="AH48" s="23">
        <v>0</v>
      </c>
      <c r="AI48" s="23">
        <v>0</v>
      </c>
      <c r="AJ48" s="40">
        <v>0</v>
      </c>
      <c r="AK48" s="15">
        <f t="shared" si="2"/>
        <v>34.5</v>
      </c>
      <c r="AL48" s="26">
        <v>55.37</v>
      </c>
      <c r="AM48" s="26">
        <f t="shared" si="71"/>
        <v>0</v>
      </c>
      <c r="AN48" s="26">
        <f t="shared" si="72"/>
        <v>0</v>
      </c>
      <c r="AO48" s="40">
        <v>0</v>
      </c>
      <c r="AP48" s="15">
        <f t="shared" si="3"/>
        <v>55.37</v>
      </c>
      <c r="AQ48" s="26">
        <v>68.08</v>
      </c>
      <c r="AR48" s="26">
        <f t="shared" si="73"/>
        <v>0</v>
      </c>
      <c r="AS48" s="26">
        <f t="shared" si="74"/>
        <v>0</v>
      </c>
      <c r="AT48" s="40">
        <v>0</v>
      </c>
      <c r="AU48" s="15">
        <f t="shared" si="4"/>
        <v>68.08</v>
      </c>
      <c r="AV48" s="26">
        <v>66.51</v>
      </c>
      <c r="AW48" s="26">
        <f t="shared" si="75"/>
        <v>0</v>
      </c>
      <c r="AX48" s="26">
        <f t="shared" si="76"/>
        <v>0</v>
      </c>
      <c r="AY48" s="26"/>
      <c r="AZ48" s="15">
        <f t="shared" si="15"/>
        <v>66.51</v>
      </c>
      <c r="BA48" s="26">
        <v>71.95</v>
      </c>
      <c r="BB48" s="26">
        <f t="shared" si="77"/>
        <v>0</v>
      </c>
      <c r="BC48" s="26">
        <f t="shared" si="78"/>
        <v>0</v>
      </c>
      <c r="BD48" s="40">
        <v>0</v>
      </c>
      <c r="BE48" s="15">
        <f t="shared" si="6"/>
        <v>71.95</v>
      </c>
      <c r="BF48" s="26">
        <v>62.14</v>
      </c>
      <c r="BG48" s="26">
        <f t="shared" si="79"/>
        <v>0</v>
      </c>
      <c r="BH48" s="26">
        <f t="shared" si="80"/>
        <v>0</v>
      </c>
      <c r="BI48" s="40">
        <v>0</v>
      </c>
      <c r="BJ48" s="15">
        <f t="shared" si="7"/>
        <v>62.14</v>
      </c>
      <c r="BK48" s="26">
        <v>81.15</v>
      </c>
      <c r="BL48" s="26">
        <f t="shared" si="81"/>
        <v>0</v>
      </c>
      <c r="BM48" s="26">
        <f t="shared" si="82"/>
        <v>0</v>
      </c>
      <c r="BN48" s="26">
        <f t="shared" si="83"/>
        <v>0</v>
      </c>
      <c r="BO48" s="15">
        <f t="shared" si="8"/>
        <v>81.15</v>
      </c>
      <c r="BP48" s="20">
        <v>0.028730851881638698</v>
      </c>
      <c r="BQ48" s="18"/>
    </row>
    <row r="49" spans="1:69" s="19" customFormat="1" ht="15">
      <c r="A49" s="21">
        <v>104</v>
      </c>
      <c r="B49" s="2" t="s">
        <v>42</v>
      </c>
      <c r="C49" s="1">
        <v>6.3</v>
      </c>
      <c r="D49" s="40">
        <v>0</v>
      </c>
      <c r="E49" s="40">
        <v>0</v>
      </c>
      <c r="F49" s="40">
        <v>0</v>
      </c>
      <c r="G49" s="15">
        <f t="shared" si="67"/>
        <v>6.3</v>
      </c>
      <c r="H49" s="1">
        <v>7.67</v>
      </c>
      <c r="I49" s="26">
        <v>0</v>
      </c>
      <c r="J49" s="26">
        <v>0</v>
      </c>
      <c r="K49" s="40">
        <v>0</v>
      </c>
      <c r="L49" s="15">
        <f t="shared" si="70"/>
        <v>7.67</v>
      </c>
      <c r="M49" s="26">
        <v>21.94</v>
      </c>
      <c r="N49" s="26">
        <v>0</v>
      </c>
      <c r="O49" s="26">
        <v>0</v>
      </c>
      <c r="P49" s="40">
        <v>0</v>
      </c>
      <c r="Q49" s="25">
        <f t="shared" si="19"/>
        <v>21.94</v>
      </c>
      <c r="R49" s="26">
        <v>36.42</v>
      </c>
      <c r="S49" s="26">
        <v>0</v>
      </c>
      <c r="T49" s="26">
        <v>0</v>
      </c>
      <c r="U49" s="40">
        <v>0</v>
      </c>
      <c r="V49" s="15">
        <f t="shared" si="9"/>
        <v>36.42</v>
      </c>
      <c r="W49" s="26">
        <v>32.99</v>
      </c>
      <c r="X49" s="26">
        <v>0</v>
      </c>
      <c r="Y49" s="26">
        <v>0</v>
      </c>
      <c r="Z49" s="40">
        <v>0</v>
      </c>
      <c r="AA49" s="15">
        <f t="shared" si="10"/>
        <v>32.99</v>
      </c>
      <c r="AB49" s="1">
        <v>50</v>
      </c>
      <c r="AC49" s="23">
        <v>0</v>
      </c>
      <c r="AD49" s="23">
        <v>0</v>
      </c>
      <c r="AE49" s="40">
        <v>0</v>
      </c>
      <c r="AF49" s="15">
        <f t="shared" si="11"/>
        <v>50</v>
      </c>
      <c r="AG49" s="1">
        <v>52.8</v>
      </c>
      <c r="AH49" s="23">
        <v>0</v>
      </c>
      <c r="AI49" s="23">
        <v>0</v>
      </c>
      <c r="AJ49" s="40">
        <v>0</v>
      </c>
      <c r="AK49" s="15">
        <f t="shared" si="2"/>
        <v>52.8</v>
      </c>
      <c r="AL49" s="26">
        <v>101.4</v>
      </c>
      <c r="AM49" s="26">
        <f t="shared" si="71"/>
        <v>0</v>
      </c>
      <c r="AN49" s="26">
        <f t="shared" si="72"/>
        <v>0</v>
      </c>
      <c r="AO49" s="40">
        <v>0</v>
      </c>
      <c r="AP49" s="15">
        <f t="shared" si="3"/>
        <v>101.4</v>
      </c>
      <c r="AQ49" s="26">
        <v>133.31</v>
      </c>
      <c r="AR49" s="26">
        <f t="shared" si="73"/>
        <v>0</v>
      </c>
      <c r="AS49" s="26">
        <f t="shared" si="74"/>
        <v>0</v>
      </c>
      <c r="AT49" s="40">
        <v>0</v>
      </c>
      <c r="AU49" s="15">
        <f t="shared" si="4"/>
        <v>133.31</v>
      </c>
      <c r="AV49" s="26">
        <v>123.57</v>
      </c>
      <c r="AW49" s="26">
        <f t="shared" si="75"/>
        <v>0</v>
      </c>
      <c r="AX49" s="26">
        <f t="shared" si="76"/>
        <v>0</v>
      </c>
      <c r="AY49" s="26"/>
      <c r="AZ49" s="15">
        <f t="shared" si="15"/>
        <v>123.57</v>
      </c>
      <c r="BA49" s="26">
        <v>134.04</v>
      </c>
      <c r="BB49" s="26">
        <f t="shared" si="77"/>
        <v>0</v>
      </c>
      <c r="BC49" s="26">
        <f t="shared" si="78"/>
        <v>0</v>
      </c>
      <c r="BD49" s="40">
        <v>0</v>
      </c>
      <c r="BE49" s="15">
        <f t="shared" si="6"/>
        <v>134.04</v>
      </c>
      <c r="BF49" s="26">
        <v>100.96</v>
      </c>
      <c r="BG49" s="26">
        <f t="shared" si="79"/>
        <v>0</v>
      </c>
      <c r="BH49" s="26">
        <f t="shared" si="80"/>
        <v>0</v>
      </c>
      <c r="BI49" s="40">
        <v>0</v>
      </c>
      <c r="BJ49" s="15">
        <f t="shared" si="7"/>
        <v>100.96</v>
      </c>
      <c r="BK49" s="26">
        <v>150.75</v>
      </c>
      <c r="BL49" s="26">
        <f t="shared" si="81"/>
        <v>0</v>
      </c>
      <c r="BM49" s="26">
        <f t="shared" si="82"/>
        <v>0</v>
      </c>
      <c r="BN49" s="26">
        <f t="shared" si="83"/>
        <v>0</v>
      </c>
      <c r="BO49" s="15">
        <f t="shared" si="8"/>
        <v>150.75</v>
      </c>
      <c r="BP49" s="20">
        <v>0.0043830698221060515</v>
      </c>
      <c r="BQ49" s="18"/>
    </row>
    <row r="50" spans="1:69" s="19" customFormat="1" ht="15">
      <c r="A50" s="21">
        <v>105</v>
      </c>
      <c r="B50" s="2" t="s">
        <v>43</v>
      </c>
      <c r="C50" s="1">
        <v>11.91</v>
      </c>
      <c r="D50" s="40">
        <v>0</v>
      </c>
      <c r="E50" s="40">
        <v>0</v>
      </c>
      <c r="F50" s="40">
        <v>0</v>
      </c>
      <c r="G50" s="15">
        <f t="shared" si="67"/>
        <v>11.91</v>
      </c>
      <c r="H50" s="1">
        <v>12.95</v>
      </c>
      <c r="I50" s="26">
        <v>0</v>
      </c>
      <c r="J50" s="26">
        <v>0</v>
      </c>
      <c r="K50" s="40">
        <v>0</v>
      </c>
      <c r="L50" s="15">
        <f t="shared" si="70"/>
        <v>12.95</v>
      </c>
      <c r="M50" s="26">
        <v>32.67</v>
      </c>
      <c r="N50" s="26">
        <v>0</v>
      </c>
      <c r="O50" s="26">
        <v>0</v>
      </c>
      <c r="P50" s="40">
        <v>0</v>
      </c>
      <c r="Q50" s="25">
        <f t="shared" si="19"/>
        <v>32.67</v>
      </c>
      <c r="R50" s="26">
        <v>27.48</v>
      </c>
      <c r="S50" s="26">
        <v>0</v>
      </c>
      <c r="T50" s="26">
        <v>0</v>
      </c>
      <c r="U50" s="40">
        <v>0</v>
      </c>
      <c r="V50" s="15">
        <f t="shared" si="9"/>
        <v>27.48</v>
      </c>
      <c r="W50" s="26">
        <v>33.23</v>
      </c>
      <c r="X50" s="26">
        <v>0</v>
      </c>
      <c r="Y50" s="26">
        <v>0</v>
      </c>
      <c r="Z50" s="40">
        <v>0</v>
      </c>
      <c r="AA50" s="15">
        <f t="shared" si="10"/>
        <v>33.23</v>
      </c>
      <c r="AB50" s="1">
        <v>36</v>
      </c>
      <c r="AC50" s="23">
        <v>0</v>
      </c>
      <c r="AD50" s="23">
        <v>0</v>
      </c>
      <c r="AE50" s="40">
        <v>0</v>
      </c>
      <c r="AF50" s="15">
        <f t="shared" si="11"/>
        <v>36</v>
      </c>
      <c r="AG50" s="1">
        <v>48.9</v>
      </c>
      <c r="AH50" s="23">
        <v>0</v>
      </c>
      <c r="AI50" s="23">
        <v>0</v>
      </c>
      <c r="AJ50" s="40">
        <v>0</v>
      </c>
      <c r="AK50" s="15">
        <f t="shared" si="2"/>
        <v>48.9</v>
      </c>
      <c r="AL50" s="26">
        <v>61.83</v>
      </c>
      <c r="AM50" s="26">
        <f t="shared" si="71"/>
        <v>0</v>
      </c>
      <c r="AN50" s="26">
        <f t="shared" si="72"/>
        <v>0</v>
      </c>
      <c r="AO50" s="40">
        <v>0</v>
      </c>
      <c r="AP50" s="15">
        <f t="shared" si="3"/>
        <v>61.83</v>
      </c>
      <c r="AQ50" s="26">
        <v>67.37</v>
      </c>
      <c r="AR50" s="26">
        <f t="shared" si="73"/>
        <v>0</v>
      </c>
      <c r="AS50" s="26">
        <f t="shared" si="74"/>
        <v>0</v>
      </c>
      <c r="AT50" s="40">
        <v>0</v>
      </c>
      <c r="AU50" s="15">
        <f t="shared" si="4"/>
        <v>67.37</v>
      </c>
      <c r="AV50" s="26">
        <v>72.49</v>
      </c>
      <c r="AW50" s="26">
        <f t="shared" si="75"/>
        <v>0</v>
      </c>
      <c r="AX50" s="26">
        <f t="shared" si="76"/>
        <v>0</v>
      </c>
      <c r="AY50" s="26"/>
      <c r="AZ50" s="15">
        <f t="shared" si="15"/>
        <v>72.49</v>
      </c>
      <c r="BA50" s="26">
        <v>78.04</v>
      </c>
      <c r="BB50" s="26">
        <f t="shared" si="77"/>
        <v>0</v>
      </c>
      <c r="BC50" s="26">
        <f t="shared" si="78"/>
        <v>0</v>
      </c>
      <c r="BD50" s="40">
        <v>0</v>
      </c>
      <c r="BE50" s="15">
        <f t="shared" si="6"/>
        <v>78.04</v>
      </c>
      <c r="BF50" s="26">
        <v>82.22</v>
      </c>
      <c r="BG50" s="26">
        <f t="shared" si="79"/>
        <v>0</v>
      </c>
      <c r="BH50" s="26">
        <f t="shared" si="80"/>
        <v>0</v>
      </c>
      <c r="BI50" s="40">
        <v>0</v>
      </c>
      <c r="BJ50" s="15">
        <f t="shared" si="7"/>
        <v>82.22</v>
      </c>
      <c r="BK50" s="26">
        <v>88.47</v>
      </c>
      <c r="BL50" s="26">
        <f t="shared" si="81"/>
        <v>0</v>
      </c>
      <c r="BM50" s="26">
        <f t="shared" si="82"/>
        <v>0</v>
      </c>
      <c r="BN50" s="26">
        <f t="shared" si="83"/>
        <v>0</v>
      </c>
      <c r="BO50" s="15">
        <f t="shared" si="8"/>
        <v>88.47</v>
      </c>
      <c r="BP50" s="20">
        <v>0.06936185279693746</v>
      </c>
      <c r="BQ50" s="18"/>
    </row>
    <row r="51" spans="1:69" s="19" customFormat="1" ht="45">
      <c r="A51" s="21">
        <v>117</v>
      </c>
      <c r="B51" s="2" t="s">
        <v>44</v>
      </c>
      <c r="C51" s="1">
        <v>0.4</v>
      </c>
      <c r="D51" s="40">
        <v>0</v>
      </c>
      <c r="E51" s="40">
        <v>0</v>
      </c>
      <c r="F51" s="40">
        <v>0</v>
      </c>
      <c r="G51" s="15">
        <f t="shared" si="67"/>
        <v>0.4</v>
      </c>
      <c r="H51" s="1">
        <v>1.06</v>
      </c>
      <c r="I51" s="1"/>
      <c r="J51" s="1"/>
      <c r="K51" s="40">
        <v>0</v>
      </c>
      <c r="L51" s="15">
        <f t="shared" si="70"/>
        <v>1.06</v>
      </c>
      <c r="M51" s="32">
        <v>2.43</v>
      </c>
      <c r="N51" s="32">
        <v>0</v>
      </c>
      <c r="O51" s="32">
        <v>0</v>
      </c>
      <c r="P51" s="40">
        <v>0</v>
      </c>
      <c r="Q51" s="25">
        <f t="shared" si="19"/>
        <v>2.43</v>
      </c>
      <c r="R51" s="26">
        <v>5.8</v>
      </c>
      <c r="S51" s="26">
        <v>0</v>
      </c>
      <c r="T51" s="26">
        <v>0</v>
      </c>
      <c r="U51" s="40">
        <v>0</v>
      </c>
      <c r="V51" s="15">
        <f t="shared" si="9"/>
        <v>5.8</v>
      </c>
      <c r="W51" s="26">
        <v>8.33</v>
      </c>
      <c r="X51" s="26">
        <v>0</v>
      </c>
      <c r="Y51" s="26">
        <v>0</v>
      </c>
      <c r="Z51" s="40">
        <v>0</v>
      </c>
      <c r="AA51" s="15">
        <f t="shared" si="10"/>
        <v>8.33</v>
      </c>
      <c r="AB51" s="1">
        <v>10.25</v>
      </c>
      <c r="AC51" s="23">
        <v>0</v>
      </c>
      <c r="AD51" s="23">
        <v>0</v>
      </c>
      <c r="AE51" s="40">
        <v>0</v>
      </c>
      <c r="AF51" s="15">
        <f t="shared" si="11"/>
        <v>10.25</v>
      </c>
      <c r="AG51" s="1">
        <v>14.36</v>
      </c>
      <c r="AH51" s="23">
        <v>0</v>
      </c>
      <c r="AI51" s="23">
        <v>0</v>
      </c>
      <c r="AJ51" s="40">
        <v>0</v>
      </c>
      <c r="AK51" s="15">
        <f t="shared" si="2"/>
        <v>14.36</v>
      </c>
      <c r="AL51" s="26">
        <v>23.05</v>
      </c>
      <c r="AM51" s="26">
        <f t="shared" si="71"/>
        <v>0</v>
      </c>
      <c r="AN51" s="26">
        <f t="shared" si="72"/>
        <v>0</v>
      </c>
      <c r="AO51" s="40">
        <v>0</v>
      </c>
      <c r="AP51" s="15">
        <f t="shared" si="3"/>
        <v>23.05</v>
      </c>
      <c r="AQ51" s="26">
        <v>28.34</v>
      </c>
      <c r="AR51" s="26">
        <f t="shared" si="73"/>
        <v>0</v>
      </c>
      <c r="AS51" s="26">
        <f t="shared" si="74"/>
        <v>0</v>
      </c>
      <c r="AT51" s="40">
        <v>0</v>
      </c>
      <c r="AU51" s="15">
        <f t="shared" si="4"/>
        <v>28.34</v>
      </c>
      <c r="AV51" s="26">
        <v>27.68</v>
      </c>
      <c r="AW51" s="26">
        <f t="shared" si="75"/>
        <v>0</v>
      </c>
      <c r="AX51" s="26">
        <f t="shared" si="76"/>
        <v>0</v>
      </c>
      <c r="AY51" s="26"/>
      <c r="AZ51" s="15">
        <f t="shared" si="15"/>
        <v>27.68</v>
      </c>
      <c r="BA51" s="26">
        <v>29.95</v>
      </c>
      <c r="BB51" s="26">
        <f t="shared" si="77"/>
        <v>0</v>
      </c>
      <c r="BC51" s="26">
        <f t="shared" si="78"/>
        <v>0</v>
      </c>
      <c r="BD51" s="40">
        <v>0</v>
      </c>
      <c r="BE51" s="15">
        <f t="shared" si="6"/>
        <v>29.95</v>
      </c>
      <c r="BF51" s="26">
        <v>25.86</v>
      </c>
      <c r="BG51" s="26">
        <f t="shared" si="79"/>
        <v>0</v>
      </c>
      <c r="BH51" s="26">
        <f t="shared" si="80"/>
        <v>0</v>
      </c>
      <c r="BI51" s="40">
        <v>0</v>
      </c>
      <c r="BJ51" s="15">
        <f t="shared" si="7"/>
        <v>25.86</v>
      </c>
      <c r="BK51" s="26">
        <v>53.78</v>
      </c>
      <c r="BL51" s="26">
        <f t="shared" si="81"/>
        <v>0</v>
      </c>
      <c r="BM51" s="26">
        <f t="shared" si="82"/>
        <v>0</v>
      </c>
      <c r="BN51" s="26">
        <f t="shared" si="83"/>
        <v>0</v>
      </c>
      <c r="BO51" s="15">
        <f t="shared" si="8"/>
        <v>53.78</v>
      </c>
      <c r="BP51" s="20">
        <v>0.028730851881638698</v>
      </c>
      <c r="BQ51" s="18"/>
    </row>
    <row r="52" spans="1:69" s="19" customFormat="1" ht="30">
      <c r="A52" s="21">
        <v>2075</v>
      </c>
      <c r="B52" s="2" t="s">
        <v>241</v>
      </c>
      <c r="C52" s="1">
        <f>1204.22+2</f>
        <v>1206.22</v>
      </c>
      <c r="D52" s="1">
        <v>9.19</v>
      </c>
      <c r="E52" s="1">
        <v>0</v>
      </c>
      <c r="F52" s="1">
        <v>0</v>
      </c>
      <c r="G52" s="15">
        <f t="shared" si="67"/>
        <v>1215.41</v>
      </c>
      <c r="H52" s="1">
        <f>913.9+2</f>
        <v>915.9</v>
      </c>
      <c r="I52" s="1"/>
      <c r="J52" s="1"/>
      <c r="K52" s="1">
        <v>0</v>
      </c>
      <c r="L52" s="15">
        <f t="shared" si="70"/>
        <v>915.9</v>
      </c>
      <c r="M52" s="26">
        <f>912.05+2</f>
        <v>914.05</v>
      </c>
      <c r="N52" s="26">
        <v>0</v>
      </c>
      <c r="O52" s="26">
        <v>0</v>
      </c>
      <c r="P52" s="1">
        <v>0</v>
      </c>
      <c r="Q52" s="25">
        <f t="shared" si="19"/>
        <v>914.05</v>
      </c>
      <c r="R52" s="41">
        <f>899.94+2</f>
        <v>901.94</v>
      </c>
      <c r="S52" s="26">
        <v>0</v>
      </c>
      <c r="T52" s="26">
        <v>0</v>
      </c>
      <c r="U52" s="1">
        <v>0</v>
      </c>
      <c r="V52" s="15">
        <f t="shared" si="9"/>
        <v>901.94</v>
      </c>
      <c r="W52" s="26">
        <v>807.57</v>
      </c>
      <c r="X52" s="26">
        <v>0</v>
      </c>
      <c r="Y52" s="26">
        <v>0</v>
      </c>
      <c r="Z52" s="1">
        <v>0</v>
      </c>
      <c r="AA52" s="15">
        <f t="shared" si="10"/>
        <v>807.57</v>
      </c>
      <c r="AB52" s="1">
        <v>743.91</v>
      </c>
      <c r="AC52" s="23">
        <v>0</v>
      </c>
      <c r="AD52" s="23">
        <v>0</v>
      </c>
      <c r="AE52" s="1">
        <v>0</v>
      </c>
      <c r="AF52" s="15">
        <f t="shared" si="11"/>
        <v>743.91</v>
      </c>
      <c r="AG52" s="1">
        <v>746.15</v>
      </c>
      <c r="AH52" s="23">
        <v>0</v>
      </c>
      <c r="AI52" s="23">
        <v>0</v>
      </c>
      <c r="AJ52" s="1">
        <v>0</v>
      </c>
      <c r="AK52" s="15">
        <f t="shared" si="2"/>
        <v>746.15</v>
      </c>
      <c r="AL52" s="26">
        <f>AG53*1.0135</f>
        <v>745.97654</v>
      </c>
      <c r="AM52" s="26">
        <f t="shared" si="71"/>
        <v>0</v>
      </c>
      <c r="AN52" s="26">
        <f t="shared" si="72"/>
        <v>0</v>
      </c>
      <c r="AO52" s="1">
        <v>0</v>
      </c>
      <c r="AP52" s="15">
        <f t="shared" si="3"/>
        <v>745.97654</v>
      </c>
      <c r="AQ52" s="26">
        <f>AQ53*1.0135</f>
        <v>757.75341</v>
      </c>
      <c r="AR52" s="26">
        <f t="shared" si="73"/>
        <v>0</v>
      </c>
      <c r="AS52" s="26">
        <f t="shared" si="74"/>
        <v>0</v>
      </c>
      <c r="AT52" s="1">
        <v>0</v>
      </c>
      <c r="AU52" s="15">
        <f t="shared" si="4"/>
        <v>757.75341</v>
      </c>
      <c r="AV52" s="26">
        <f>AV53*1.0135</f>
        <v>764.9898000000001</v>
      </c>
      <c r="AW52" s="26">
        <f t="shared" si="75"/>
        <v>0</v>
      </c>
      <c r="AX52" s="26">
        <f t="shared" si="76"/>
        <v>0</v>
      </c>
      <c r="AY52" s="26"/>
      <c r="AZ52" s="15">
        <f t="shared" si="15"/>
        <v>764.9898000000001</v>
      </c>
      <c r="BA52" s="26">
        <f>BA53*1.0135</f>
        <v>773.32077</v>
      </c>
      <c r="BB52" s="26">
        <f t="shared" si="77"/>
        <v>0</v>
      </c>
      <c r="BC52" s="26">
        <f t="shared" si="78"/>
        <v>0</v>
      </c>
      <c r="BD52" s="1">
        <v>0</v>
      </c>
      <c r="BE52" s="15">
        <f t="shared" si="6"/>
        <v>773.32077</v>
      </c>
      <c r="BF52" s="26">
        <f>BF53*1.0135</f>
        <v>782.90848</v>
      </c>
      <c r="BG52" s="26">
        <f t="shared" si="79"/>
        <v>0</v>
      </c>
      <c r="BH52" s="26">
        <f t="shared" si="80"/>
        <v>0</v>
      </c>
      <c r="BI52" s="1">
        <v>0</v>
      </c>
      <c r="BJ52" s="15">
        <f t="shared" si="7"/>
        <v>782.90848</v>
      </c>
      <c r="BK52" s="26">
        <f>BK53*1.0135</f>
        <v>793.9252250000001</v>
      </c>
      <c r="BL52" s="26">
        <f t="shared" si="81"/>
        <v>0</v>
      </c>
      <c r="BM52" s="26">
        <f t="shared" si="82"/>
        <v>0</v>
      </c>
      <c r="BN52" s="26">
        <f t="shared" si="83"/>
        <v>0</v>
      </c>
      <c r="BO52" s="15">
        <f t="shared" si="8"/>
        <v>793.9252250000001</v>
      </c>
      <c r="BP52" s="20">
        <v>0.011709610587711694</v>
      </c>
      <c r="BQ52" s="18"/>
    </row>
    <row r="53" spans="1:69" s="19" customFormat="1" ht="15">
      <c r="A53" s="21">
        <v>103</v>
      </c>
      <c r="B53" s="2" t="s">
        <v>45</v>
      </c>
      <c r="C53" s="1">
        <v>1201.71</v>
      </c>
      <c r="D53" s="1">
        <v>0</v>
      </c>
      <c r="E53" s="1">
        <v>0</v>
      </c>
      <c r="F53" s="1">
        <v>0</v>
      </c>
      <c r="G53" s="15">
        <f t="shared" si="67"/>
        <v>1201.71</v>
      </c>
      <c r="H53" s="1">
        <v>913.05</v>
      </c>
      <c r="I53" s="1"/>
      <c r="J53" s="1"/>
      <c r="K53" s="1">
        <v>0</v>
      </c>
      <c r="L53" s="15">
        <f t="shared" si="70"/>
        <v>913.05</v>
      </c>
      <c r="M53" s="26">
        <v>909.02</v>
      </c>
      <c r="N53" s="26">
        <v>0</v>
      </c>
      <c r="O53" s="26">
        <v>0</v>
      </c>
      <c r="P53" s="1">
        <v>0</v>
      </c>
      <c r="Q53" s="25">
        <f t="shared" si="19"/>
        <v>909.02</v>
      </c>
      <c r="R53" s="26">
        <v>895.61</v>
      </c>
      <c r="S53" s="26">
        <v>0</v>
      </c>
      <c r="T53" s="26">
        <v>0</v>
      </c>
      <c r="U53" s="1">
        <v>0</v>
      </c>
      <c r="V53" s="15">
        <f t="shared" si="9"/>
        <v>895.61</v>
      </c>
      <c r="W53" s="26">
        <v>800.53</v>
      </c>
      <c r="X53" s="26">
        <v>0</v>
      </c>
      <c r="Y53" s="26">
        <v>0</v>
      </c>
      <c r="Z53" s="1">
        <v>0</v>
      </c>
      <c r="AA53" s="15">
        <f t="shared" si="10"/>
        <v>800.53</v>
      </c>
      <c r="AB53" s="1">
        <v>730.99</v>
      </c>
      <c r="AC53" s="23">
        <v>0</v>
      </c>
      <c r="AD53" s="23">
        <v>0</v>
      </c>
      <c r="AE53" s="1">
        <v>0</v>
      </c>
      <c r="AF53" s="15">
        <f t="shared" si="11"/>
        <v>730.99</v>
      </c>
      <c r="AG53" s="1">
        <f>'[1]St.2'!$I$64-40</f>
        <v>736.04</v>
      </c>
      <c r="AH53" s="23">
        <v>0</v>
      </c>
      <c r="AI53" s="23">
        <v>0</v>
      </c>
      <c r="AJ53" s="1">
        <v>0</v>
      </c>
      <c r="AK53" s="15">
        <f t="shared" si="2"/>
        <v>736.04</v>
      </c>
      <c r="AL53" s="26">
        <v>741.44</v>
      </c>
      <c r="AM53" s="26">
        <f t="shared" si="71"/>
        <v>0</v>
      </c>
      <c r="AN53" s="26">
        <f t="shared" si="72"/>
        <v>0</v>
      </c>
      <c r="AO53" s="1">
        <v>0</v>
      </c>
      <c r="AP53" s="15">
        <f t="shared" si="3"/>
        <v>741.44</v>
      </c>
      <c r="AQ53" s="26">
        <v>747.66</v>
      </c>
      <c r="AR53" s="26">
        <f t="shared" si="73"/>
        <v>0</v>
      </c>
      <c r="AS53" s="26">
        <f t="shared" si="74"/>
        <v>0</v>
      </c>
      <c r="AT53" s="1">
        <v>0</v>
      </c>
      <c r="AU53" s="15">
        <f t="shared" si="4"/>
        <v>747.66</v>
      </c>
      <c r="AV53" s="26">
        <v>754.8</v>
      </c>
      <c r="AW53" s="26">
        <f t="shared" si="75"/>
        <v>0</v>
      </c>
      <c r="AX53" s="26">
        <f t="shared" si="76"/>
        <v>0</v>
      </c>
      <c r="AY53" s="26"/>
      <c r="AZ53" s="15">
        <f t="shared" si="15"/>
        <v>754.8</v>
      </c>
      <c r="BA53" s="26">
        <v>763.02</v>
      </c>
      <c r="BB53" s="26">
        <f t="shared" si="77"/>
        <v>0</v>
      </c>
      <c r="BC53" s="26">
        <f t="shared" si="78"/>
        <v>0</v>
      </c>
      <c r="BD53" s="1">
        <v>0</v>
      </c>
      <c r="BE53" s="15">
        <f t="shared" si="6"/>
        <v>763.02</v>
      </c>
      <c r="BF53" s="26">
        <v>772.48</v>
      </c>
      <c r="BG53" s="26">
        <f t="shared" si="79"/>
        <v>0</v>
      </c>
      <c r="BH53" s="26">
        <f t="shared" si="80"/>
        <v>0</v>
      </c>
      <c r="BI53" s="1">
        <v>0</v>
      </c>
      <c r="BJ53" s="15">
        <f t="shared" si="7"/>
        <v>772.48</v>
      </c>
      <c r="BK53" s="26">
        <v>783.35</v>
      </c>
      <c r="BL53" s="26">
        <f t="shared" si="81"/>
        <v>0</v>
      </c>
      <c r="BM53" s="26">
        <f t="shared" si="82"/>
        <v>0</v>
      </c>
      <c r="BN53" s="26">
        <f t="shared" si="83"/>
        <v>0</v>
      </c>
      <c r="BO53" s="15">
        <f t="shared" si="8"/>
        <v>783.35</v>
      </c>
      <c r="BP53" s="20">
        <v>0.011709610587713968</v>
      </c>
      <c r="BQ53" s="18"/>
    </row>
    <row r="54" spans="1:69" s="19" customFormat="1" ht="45">
      <c r="A54" s="21">
        <v>104</v>
      </c>
      <c r="B54" s="2" t="s">
        <v>46</v>
      </c>
      <c r="C54" s="22">
        <v>0.03</v>
      </c>
      <c r="D54" s="22">
        <v>0</v>
      </c>
      <c r="E54" s="22">
        <v>0</v>
      </c>
      <c r="F54" s="22">
        <v>0</v>
      </c>
      <c r="G54" s="15">
        <f t="shared" si="67"/>
        <v>0.03</v>
      </c>
      <c r="H54" s="1">
        <v>0.03</v>
      </c>
      <c r="I54" s="1"/>
      <c r="J54" s="1"/>
      <c r="K54" s="22">
        <v>0</v>
      </c>
      <c r="L54" s="15">
        <f t="shared" si="70"/>
        <v>0.03</v>
      </c>
      <c r="M54" s="26">
        <v>0.04</v>
      </c>
      <c r="N54" s="26">
        <v>0</v>
      </c>
      <c r="O54" s="26">
        <v>0</v>
      </c>
      <c r="P54" s="22">
        <v>0</v>
      </c>
      <c r="Q54" s="25">
        <f t="shared" si="19"/>
        <v>0.04</v>
      </c>
      <c r="R54" s="26">
        <v>0.04</v>
      </c>
      <c r="S54" s="26">
        <v>0</v>
      </c>
      <c r="T54" s="26">
        <v>0</v>
      </c>
      <c r="U54" s="22">
        <v>0</v>
      </c>
      <c r="V54" s="15">
        <f t="shared" si="9"/>
        <v>0.04</v>
      </c>
      <c r="W54" s="26">
        <v>0.01</v>
      </c>
      <c r="X54" s="26">
        <v>0</v>
      </c>
      <c r="Y54" s="26">
        <v>0</v>
      </c>
      <c r="Z54" s="22">
        <v>0</v>
      </c>
      <c r="AA54" s="15">
        <f t="shared" si="10"/>
        <v>0.01</v>
      </c>
      <c r="AB54" s="26">
        <v>0</v>
      </c>
      <c r="AC54" s="23">
        <v>0</v>
      </c>
      <c r="AD54" s="23">
        <v>0</v>
      </c>
      <c r="AE54" s="22">
        <v>0</v>
      </c>
      <c r="AF54" s="15">
        <f t="shared" si="11"/>
        <v>0</v>
      </c>
      <c r="AG54" s="26">
        <v>0</v>
      </c>
      <c r="AH54" s="23">
        <v>0</v>
      </c>
      <c r="AI54" s="23">
        <v>0</v>
      </c>
      <c r="AJ54" s="22">
        <v>0</v>
      </c>
      <c r="AK54" s="15">
        <f t="shared" si="2"/>
        <v>0</v>
      </c>
      <c r="AL54" s="26">
        <f t="shared" si="71"/>
        <v>0</v>
      </c>
      <c r="AM54" s="26">
        <f t="shared" si="71"/>
        <v>0</v>
      </c>
      <c r="AN54" s="26">
        <f t="shared" si="72"/>
        <v>0</v>
      </c>
      <c r="AO54" s="22">
        <v>0</v>
      </c>
      <c r="AP54" s="15">
        <f t="shared" si="3"/>
        <v>0</v>
      </c>
      <c r="AQ54" s="26">
        <f t="shared" si="73"/>
        <v>0</v>
      </c>
      <c r="AR54" s="26">
        <f t="shared" si="73"/>
        <v>0</v>
      </c>
      <c r="AS54" s="26">
        <f t="shared" si="74"/>
        <v>0</v>
      </c>
      <c r="AT54" s="22">
        <v>0</v>
      </c>
      <c r="AU54" s="15">
        <f t="shared" si="4"/>
        <v>0</v>
      </c>
      <c r="AV54" s="26">
        <f t="shared" si="75"/>
        <v>0</v>
      </c>
      <c r="AW54" s="26">
        <f t="shared" si="75"/>
        <v>0</v>
      </c>
      <c r="AX54" s="26">
        <f t="shared" si="76"/>
        <v>0</v>
      </c>
      <c r="AY54" s="26"/>
      <c r="AZ54" s="15">
        <f t="shared" si="15"/>
        <v>0</v>
      </c>
      <c r="BA54" s="26">
        <f t="shared" si="77"/>
        <v>0</v>
      </c>
      <c r="BB54" s="26">
        <f t="shared" si="77"/>
        <v>0</v>
      </c>
      <c r="BC54" s="26">
        <f t="shared" si="78"/>
        <v>0</v>
      </c>
      <c r="BD54" s="22">
        <v>0</v>
      </c>
      <c r="BE54" s="15">
        <f t="shared" si="6"/>
        <v>0</v>
      </c>
      <c r="BF54" s="26">
        <f t="shared" si="79"/>
        <v>0</v>
      </c>
      <c r="BG54" s="26">
        <f t="shared" si="79"/>
        <v>0</v>
      </c>
      <c r="BH54" s="26">
        <f t="shared" si="80"/>
        <v>0</v>
      </c>
      <c r="BI54" s="22">
        <v>0</v>
      </c>
      <c r="BJ54" s="15">
        <f t="shared" si="7"/>
        <v>0</v>
      </c>
      <c r="BK54" s="26">
        <f t="shared" si="81"/>
        <v>0</v>
      </c>
      <c r="BL54" s="26">
        <f t="shared" si="81"/>
        <v>0</v>
      </c>
      <c r="BM54" s="26">
        <f t="shared" si="82"/>
        <v>0</v>
      </c>
      <c r="BN54" s="26">
        <f t="shared" si="83"/>
        <v>0</v>
      </c>
      <c r="BO54" s="15">
        <f t="shared" si="8"/>
        <v>0</v>
      </c>
      <c r="BP54" s="20"/>
      <c r="BQ54" s="18"/>
    </row>
    <row r="55" spans="1:69" s="16" customFormat="1" ht="15">
      <c r="A55" s="13" t="s">
        <v>47</v>
      </c>
      <c r="B55" s="14" t="s">
        <v>48</v>
      </c>
      <c r="C55" s="15">
        <f aca="true" t="shared" si="84" ref="C55:O55">C56+C63+C64+C65+C66+C69+C70+C76+C77+C80+C81+C82+C83+C84+C90+C93+C96+C97</f>
        <v>251.84</v>
      </c>
      <c r="D55" s="15">
        <f t="shared" si="84"/>
        <v>208.86999999999995</v>
      </c>
      <c r="E55" s="15">
        <f t="shared" si="84"/>
        <v>22.91</v>
      </c>
      <c r="F55" s="15">
        <f>F56+F63+F64+F65+F66+F69+F70+F76+F77+F80+F81+F82+F83+F84+F90+F93+F96+F97</f>
        <v>0.18</v>
      </c>
      <c r="G55" s="15">
        <f t="shared" si="84"/>
        <v>460.71000000000004</v>
      </c>
      <c r="H55" s="15">
        <f t="shared" si="84"/>
        <v>296.61999999999995</v>
      </c>
      <c r="I55" s="15">
        <f t="shared" si="84"/>
        <v>265.8</v>
      </c>
      <c r="J55" s="15">
        <f t="shared" si="84"/>
        <v>23.45</v>
      </c>
      <c r="K55" s="15">
        <f t="shared" si="84"/>
        <v>1.3699999999999999</v>
      </c>
      <c r="L55" s="15">
        <f t="shared" si="84"/>
        <v>562.4200000000001</v>
      </c>
      <c r="M55" s="15">
        <f t="shared" si="84"/>
        <v>428.39000000000004</v>
      </c>
      <c r="N55" s="15">
        <f t="shared" si="84"/>
        <v>282.4200000000001</v>
      </c>
      <c r="O55" s="15">
        <f t="shared" si="84"/>
        <v>31.349999999999998</v>
      </c>
      <c r="P55" s="15">
        <f>P56+P63+P64+P65+P66+P69+P70+P76+P77+P80+P81+P82+P83+P84+P90+P93+P96+P97</f>
        <v>0.18</v>
      </c>
      <c r="Q55" s="25">
        <f t="shared" si="19"/>
        <v>710.8100000000002</v>
      </c>
      <c r="R55" s="15">
        <f>R56+R63+R64+R65+R66+R69+R70+R76+R77+R80+R81+R82+R83+R84+R90+R93+R96+R97</f>
        <v>460.94000000000005</v>
      </c>
      <c r="S55" s="15">
        <f>S56+S63+S64+S65+S66+S69+S70+S76+S77+S80+S81+S82+S83+S84+S90+S93+S96+S97</f>
        <v>367.98</v>
      </c>
      <c r="T55" s="15">
        <f>T56+T63+T64+T65+T66+T69+T70+T76+T77+T80+T81+T82+T83+T84+T90+T93+T96+T97</f>
        <v>51.63</v>
      </c>
      <c r="U55" s="15">
        <f>U56+U63+U64+U65+U66+U69+U70+U76+U77+U80+U81+U82+U83+U84+U90+U93+U96+U97</f>
        <v>2.09</v>
      </c>
      <c r="V55" s="15">
        <f t="shared" si="9"/>
        <v>828.9200000000001</v>
      </c>
      <c r="W55" s="15">
        <f>W56+W63+W64+W65+W66+W69+W70+W76+W77+W80+W81+W82+W83+W84+W90+W93+W96+W97</f>
        <v>691.0500000000001</v>
      </c>
      <c r="X55" s="15">
        <f>X56+X63+X64+X65+X66+X69+X70+X76+X77+X80+X81+X82+X83+X84+X90+X93+X96+X97</f>
        <v>358.28</v>
      </c>
      <c r="Y55" s="15">
        <f>Y56+Y63+Y64+Y65+Y66+Y69+Y70+Y76+Y77+Y80+Y81+Y82+Y83+Y84+Y90+Y93+Y96+Y97</f>
        <v>59.73000000000001</v>
      </c>
      <c r="Z55" s="15">
        <f>Z56+Z63+Z64+Z65+Z66+Z69+Z70+Z76+Z77+Z80+Z81+Z82+Z83+Z84+Z90+Z93+Z96+Z97</f>
        <v>2.62</v>
      </c>
      <c r="AA55" s="15">
        <f t="shared" si="10"/>
        <v>1049.33</v>
      </c>
      <c r="AB55" s="15">
        <f>AB56+AB63+AB64+AB65+AB66+AB69+AB70+AB76+AB77+AB80+AB81+AB82+AB83+AB84+AB90+AB93+AB96+AB97</f>
        <v>566.2800000000001</v>
      </c>
      <c r="AC55" s="15">
        <f>AC56+AC63+AC64+AC65+AC66+AC69+AC70+AC76+AC77+AC80+AC81+AC82+AC83+AC84+AC90+AC93+AC96+AC97</f>
        <v>517.71</v>
      </c>
      <c r="AD55" s="15">
        <f>AD56+AD63+AD64+AD65+AD66+AD69+AD70+AD76+AD77+AD80+AD81+AD82+AD83+AD84+AD90+AD93+AD96+AD97</f>
        <v>41.545</v>
      </c>
      <c r="AE55" s="15">
        <f>AE56+AE63+AE64+AE65+AE66+AE69+AE70+AE76+AE77+AE80+AE81+AE82+AE83+AE84+AE90+AE93+AE96+AE97</f>
        <v>2.3200000000000003</v>
      </c>
      <c r="AF55" s="15">
        <f t="shared" si="11"/>
        <v>1083.9900000000002</v>
      </c>
      <c r="AG55" s="15">
        <f>AG56+AG63+AG64+AG65+AG66+AG69+AG70+AG76+AG77+AG80+AG81+AG82+AG83+AG84+AG90+AG93+AG96+AG97</f>
        <v>670.93</v>
      </c>
      <c r="AH55" s="15">
        <f>AH56+AH63+AH64+AH65+AH66+AH69+AH70+AH76+AH77+AH80+AH81+AH82+AH83+AH84+AH90+AH93+AH96+AH97</f>
        <v>645.1899999999999</v>
      </c>
      <c r="AI55" s="15">
        <f>AI56+AI63+AI64+AI65+AI66+AI69+AI70+AI76+AI77+AI80+AI81+AI82+AI83+AI84+AI90+AI93+AI96+AI97</f>
        <v>90.35000000000001</v>
      </c>
      <c r="AJ55" s="15">
        <f>AJ56+AJ63+AJ64+AJ65+AJ66+AJ69+AJ70+AJ76+AJ77+AJ80+AJ81+AJ82+AJ83+AJ84+AJ90+AJ93+AJ96+AJ97</f>
        <v>3.59</v>
      </c>
      <c r="AK55" s="15">
        <f t="shared" si="2"/>
        <v>1316.12</v>
      </c>
      <c r="AL55" s="15">
        <f>AL56+AL63+AL64+AL65+AL66+AL69+AL70+AL76+AL77+AL80+AL81+AL82+AL83+AL84+AL90+AL93+AL96+AL97</f>
        <v>681.5876022039356</v>
      </c>
      <c r="AM55" s="15">
        <f>AM56+AM63+AM64+AM65+AM66+AM69+AM70+AM76+AM77+AM80+AM81+AM82+AM83+AM84+AM90+AM93+AM96+AM97</f>
        <v>717.773875</v>
      </c>
      <c r="AN55" s="15">
        <f>AN56+AN63+AN64+AN65+AN66+AN69+AN70+AN76+AN77+AN80+AN81+AN82+AN83+AN84+AN90+AN93+AN96+AN97</f>
        <v>100.514375</v>
      </c>
      <c r="AO55" s="15">
        <f>AO56+AO63+AO64+AO65+AO66+AO69+AO70+AO76+AO77+AO80+AO81+AO82+AO83+AO84+AO90+AO93+AO96+AO97</f>
        <v>0</v>
      </c>
      <c r="AP55" s="15">
        <f t="shared" si="3"/>
        <v>1399.3614772039355</v>
      </c>
      <c r="AQ55" s="15">
        <f>AQ56+AQ63+AQ64+AQ65+AQ66+AQ69+AQ70+AQ76+AQ77+AQ80+AQ81+AQ82+AQ83+AQ84+AQ90+AQ93+AQ96+AQ97</f>
        <v>764.16091494361</v>
      </c>
      <c r="AR55" s="15">
        <f>AR56+AR63+AR64+AR65+AR66+AR69+AR70+AR76+AR77+AR80+AR81+AR82+AR83+AR84+AR90+AR93+AR96+AR97</f>
        <v>798.5234359374999</v>
      </c>
      <c r="AS55" s="15">
        <f>AS56+AS63+AS64+AS65+AS66+AS69+AS70+AS76+AS77+AS80+AS81+AS82+AS83+AS84+AS90+AS93+AS96+AS97</f>
        <v>111.8222421875</v>
      </c>
      <c r="AT55" s="15">
        <f>AT56+AT63+AT64+AT65+AT66+AT69+AT70+AT76+AT77+AT80+AT81+AT82+AT83+AT84+AT90+AT93+AT96+AT97</f>
        <v>0</v>
      </c>
      <c r="AU55" s="15">
        <f t="shared" si="4"/>
        <v>1562.6843508811098</v>
      </c>
      <c r="AV55" s="15">
        <f>AV56+AV63+AV64+AV65+AV66+AV69+AV70+AV76+AV77+AV80+AV81+AV82+AV83+AV84+AV90+AV93+AV96+AV97</f>
        <v>855.9174287476496</v>
      </c>
      <c r="AW55" s="15">
        <f>AW56+AW63+AW64+AW65+AW66+AW69+AW70+AW76+AW77+AW80+AW81+AW82+AW83+AW84+AW90+AW93+AW96+AW97</f>
        <v>888.3573224804688</v>
      </c>
      <c r="AX55" s="15">
        <f>AX56+AX63+AX64+AX65+AX66+AX69+AX70+AX76+AX77+AX80+AX81+AX82+AX83+AX84+AX90+AX93+AX96+AX97</f>
        <v>124.40224443359375</v>
      </c>
      <c r="AY55" s="15">
        <f>AY56+AY63+AY64+AY65+AY66+AY69+AY70+AY76+AY77+AY80+AY81+AY82+AY83+AY84+AY90+AY93+AY96+AY97</f>
        <v>0</v>
      </c>
      <c r="AZ55" s="15">
        <f t="shared" si="15"/>
        <v>1744.2747512281185</v>
      </c>
      <c r="BA55" s="15">
        <f>BA56+BA63+BA64+BA65+BA66+BA69+BA70+BA76+BA77+BA80+BA81+BA82+BA83+BA84+BA90+BA93+BA96+BA97</f>
        <v>957.5737434452137</v>
      </c>
      <c r="BB55" s="15">
        <f>BB56+BB63+BB64+BB65+BB66+BB69+BB70+BB76+BB77+BB80+BB81+BB82+BB83+BB84+BB90+BB93+BB96+BB97</f>
        <v>988.2975212595214</v>
      </c>
      <c r="BC55" s="15">
        <f>BC56+BC63+BC64+BC65+BC66+BC69+BC70+BC76+BC77+BC80+BC81+BC82+BC83+BC84+BC90+BC93+BC96+BC97</f>
        <v>138.39749693237303</v>
      </c>
      <c r="BD55" s="15">
        <f>BD56+BD63+BD64+BD65+BD66+BD69+BD70+BD76+BD77+BD80+BD81+BD82+BD83+BD84+BD90+BD93+BD96+BD97</f>
        <v>0</v>
      </c>
      <c r="BE55" s="15">
        <f t="shared" si="6"/>
        <v>1945.871264704735</v>
      </c>
      <c r="BF55" s="15">
        <f>BF56+BF63+BF64+BF65+BF66+BF69+BF70+BF76+BF77+BF80+BF81+BF82+BF83+BF84+BF90+BF93+BF96+BF97</f>
        <v>1069.7985225797977</v>
      </c>
      <c r="BG55" s="15">
        <f>BG56+BG63+BG64+BG65+BG66+BG69+BG70+BG76+BG77+BG80+BG81+BG82+BG83+BG84+BG90+BG93+BG96+BG97</f>
        <v>1099.4809924012175</v>
      </c>
      <c r="BH55" s="15">
        <f>BH56+BH63+BH64+BH65+BH66+BH69+BH70+BH76+BH77+BH80+BH81+BH82+BH83+BH84+BH90+BH93+BH96+BH97</f>
        <v>153.967215337265</v>
      </c>
      <c r="BI55" s="15">
        <f>BI56+BI63+BI64+BI65+BI66+BI69+BI70+BI76+BI77+BI80+BI81+BI82+BI83+BI84+BI90+BI93+BI96+BI97</f>
        <v>0</v>
      </c>
      <c r="BJ55" s="15">
        <f t="shared" si="7"/>
        <v>2169.2795149810154</v>
      </c>
      <c r="BK55" s="15">
        <f>BK56+BK63+BK64+BK65+BK66+BK69+BK70+BK76+BK77+BK80+BK81+BK82+BK83+BK84+BK90+BK93+BK96+BK97</f>
        <v>1193.178408989254</v>
      </c>
      <c r="BL55" s="15">
        <f>BL56+BL63+BL64+BL65+BL66+BL69+BL70+BL76+BL77+BL80+BL81+BL82+BL83+BL84+BL90+BL93+BL96+BL97</f>
        <v>1223.1726040463545</v>
      </c>
      <c r="BM55" s="15">
        <f>BM56+BM63+BM64+BM65+BM66+BM69+BM70+BM76+BM77+BM80+BM81+BM82+BM83+BM84+BM90+BM93+BM96+BM97</f>
        <v>171.28852706270732</v>
      </c>
      <c r="BN55" s="15">
        <f>BN56+BN63+BN64+BN65+BN66+BN69+BN70+BN76+BN77+BN80+BN81+BN82+BN83+BN84+BN90+BN93+BN96+BN97</f>
        <v>0</v>
      </c>
      <c r="BO55" s="15">
        <f t="shared" si="8"/>
        <v>2416.3510130356085</v>
      </c>
      <c r="BP55" s="17">
        <v>0.12286152206508731</v>
      </c>
      <c r="BQ55" s="18">
        <v>11.249999999999986</v>
      </c>
    </row>
    <row r="56" spans="1:69" s="19" customFormat="1" ht="15">
      <c r="A56" s="21">
        <v>2202</v>
      </c>
      <c r="B56" s="2" t="s">
        <v>171</v>
      </c>
      <c r="C56" s="1">
        <f>SUM(C57:C62)</f>
        <v>133.34</v>
      </c>
      <c r="D56" s="1">
        <f>SUM(D57:D62)</f>
        <v>91.19999999999999</v>
      </c>
      <c r="E56" s="1">
        <f>SUM(E57:E62)</f>
        <v>7.77</v>
      </c>
      <c r="F56" s="23">
        <v>0.18</v>
      </c>
      <c r="G56" s="15">
        <f aca="true" t="shared" si="85" ref="G56:G97">C56+D56</f>
        <v>224.54</v>
      </c>
      <c r="H56" s="1">
        <v>156.88</v>
      </c>
      <c r="I56" s="1">
        <f>106.37+J56</f>
        <v>110.99000000000001</v>
      </c>
      <c r="J56" s="1">
        <v>4.62</v>
      </c>
      <c r="K56" s="23">
        <v>0.2</v>
      </c>
      <c r="L56" s="15">
        <f aca="true" t="shared" si="86" ref="L56:L97">H56+I56</f>
        <v>267.87</v>
      </c>
      <c r="M56" s="26">
        <v>266.08</v>
      </c>
      <c r="N56" s="41">
        <f>117.93+O56</f>
        <v>124</v>
      </c>
      <c r="O56" s="26">
        <v>6.07</v>
      </c>
      <c r="P56" s="23">
        <v>0.18</v>
      </c>
      <c r="Q56" s="25">
        <f t="shared" si="19"/>
        <v>390.08</v>
      </c>
      <c r="R56" s="26">
        <v>321.3</v>
      </c>
      <c r="S56" s="41">
        <f>205.71+T56</f>
        <v>218.45000000000002</v>
      </c>
      <c r="T56" s="26">
        <v>12.74</v>
      </c>
      <c r="U56" s="23">
        <v>1.81</v>
      </c>
      <c r="V56" s="15">
        <f t="shared" si="9"/>
        <v>539.75</v>
      </c>
      <c r="W56" s="1">
        <v>296.18</v>
      </c>
      <c r="X56" s="1">
        <f>159.32+Y56</f>
        <v>176.76999999999998</v>
      </c>
      <c r="Y56" s="1">
        <v>17.45</v>
      </c>
      <c r="Z56" s="23">
        <v>2.11</v>
      </c>
      <c r="AA56" s="15">
        <f t="shared" si="10"/>
        <v>472.95</v>
      </c>
      <c r="AB56" s="1">
        <v>377.03</v>
      </c>
      <c r="AC56" s="1">
        <v>154.42</v>
      </c>
      <c r="AD56" s="1">
        <v>20.22</v>
      </c>
      <c r="AE56" s="23">
        <v>1.46</v>
      </c>
      <c r="AF56" s="15">
        <f t="shared" si="11"/>
        <v>531.4499999999999</v>
      </c>
      <c r="AG56" s="1">
        <v>394.97</v>
      </c>
      <c r="AH56" s="1">
        <v>223.76</v>
      </c>
      <c r="AI56" s="1">
        <v>27.77</v>
      </c>
      <c r="AJ56" s="23">
        <v>0</v>
      </c>
      <c r="AK56" s="15">
        <f t="shared" si="2"/>
        <v>618.73</v>
      </c>
      <c r="AL56" s="26">
        <v>441.95</v>
      </c>
      <c r="AM56" s="26">
        <f aca="true" t="shared" si="87" ref="AL56:AM97">AH56+(AH56*BQ56)</f>
        <v>248.933</v>
      </c>
      <c r="AN56" s="26">
        <f aca="true" t="shared" si="88" ref="AN56:AN97">AI56+(AI56*BQ56)</f>
        <v>30.894125</v>
      </c>
      <c r="AO56" s="23">
        <v>0</v>
      </c>
      <c r="AP56" s="15">
        <f t="shared" si="3"/>
        <v>690.883</v>
      </c>
      <c r="AQ56" s="26">
        <v>493.15</v>
      </c>
      <c r="AR56" s="26">
        <f aca="true" t="shared" si="89" ref="AQ56:AR97">AM56+(AM56*BQ56)</f>
        <v>276.93796249999997</v>
      </c>
      <c r="AS56" s="26">
        <f aca="true" t="shared" si="90" ref="AS56:AS97">AN56+(AN56*BQ56)</f>
        <v>34.3697140625</v>
      </c>
      <c r="AT56" s="23">
        <v>0</v>
      </c>
      <c r="AU56" s="15">
        <f t="shared" si="4"/>
        <v>770.0879625</v>
      </c>
      <c r="AV56" s="26">
        <v>548.53</v>
      </c>
      <c r="AW56" s="26">
        <f aca="true" t="shared" si="91" ref="AV56:AW97">AR56+(AR56*BQ56)</f>
        <v>308.09348328125</v>
      </c>
      <c r="AX56" s="26">
        <f aca="true" t="shared" si="92" ref="AX56:AX97">AS56+(AS56*BQ56)</f>
        <v>38.23630689453125</v>
      </c>
      <c r="AY56" s="26"/>
      <c r="AZ56" s="15">
        <f t="shared" si="15"/>
        <v>856.62348328125</v>
      </c>
      <c r="BA56" s="26">
        <v>607.92</v>
      </c>
      <c r="BB56" s="26">
        <f aca="true" t="shared" si="93" ref="BA56:BB97">AW56+(AW56*BQ56)</f>
        <v>342.7540001503906</v>
      </c>
      <c r="BC56" s="26">
        <f aca="true" t="shared" si="94" ref="BC56:BC97">AX56+(AX56*BQ56)</f>
        <v>42.53789142016602</v>
      </c>
      <c r="BD56" s="23">
        <v>0</v>
      </c>
      <c r="BE56" s="15">
        <f t="shared" si="6"/>
        <v>950.6740001503906</v>
      </c>
      <c r="BF56" s="26">
        <v>670.93</v>
      </c>
      <c r="BG56" s="26">
        <f aca="true" t="shared" si="95" ref="BF56:BG97">BB56+(BB56*BQ56)</f>
        <v>381.3138251673095</v>
      </c>
      <c r="BH56" s="26">
        <f aca="true" t="shared" si="96" ref="BH56:BH97">BC56+(BC56*BQ56)</f>
        <v>47.3234042049347</v>
      </c>
      <c r="BI56" s="23">
        <v>0</v>
      </c>
      <c r="BJ56" s="15">
        <f t="shared" si="7"/>
        <v>1052.2438251673095</v>
      </c>
      <c r="BK56" s="26">
        <v>736.88</v>
      </c>
      <c r="BL56" s="26">
        <f aca="true" t="shared" si="97" ref="BK56:BL97">BG56+(BG56*BQ56)</f>
        <v>424.21163049863185</v>
      </c>
      <c r="BM56" s="26">
        <f aca="true" t="shared" si="98" ref="BM56:BM97">BH56+(BH56*BQ56)</f>
        <v>52.64728717798985</v>
      </c>
      <c r="BN56" s="26">
        <f aca="true" t="shared" si="99" ref="BN56:BN97">BI56+(BI56*BU56)</f>
        <v>0</v>
      </c>
      <c r="BO56" s="15">
        <f t="shared" si="8"/>
        <v>1161.0916304986317</v>
      </c>
      <c r="BP56" s="20">
        <v>0.17</v>
      </c>
      <c r="BQ56" s="18">
        <v>0.1125</v>
      </c>
    </row>
    <row r="57" spans="1:69" s="19" customFormat="1" ht="15">
      <c r="A57" s="21" t="s">
        <v>49</v>
      </c>
      <c r="B57" s="2" t="s">
        <v>50</v>
      </c>
      <c r="C57" s="1">
        <v>66.85</v>
      </c>
      <c r="D57" s="1">
        <f>38.4+E57</f>
        <v>45.449999999999996</v>
      </c>
      <c r="E57" s="1">
        <v>7.05</v>
      </c>
      <c r="F57" s="23">
        <v>0</v>
      </c>
      <c r="G57" s="15">
        <f t="shared" si="85"/>
        <v>112.29999999999998</v>
      </c>
      <c r="H57" s="1">
        <v>78.64</v>
      </c>
      <c r="I57" s="1">
        <f>45.15+J57</f>
        <v>49.32</v>
      </c>
      <c r="J57" s="1">
        <v>4.17</v>
      </c>
      <c r="K57" s="23">
        <v>0</v>
      </c>
      <c r="L57" s="15">
        <f t="shared" si="86"/>
        <v>127.96000000000001</v>
      </c>
      <c r="M57" s="26">
        <v>127.92</v>
      </c>
      <c r="N57" s="26">
        <f>44.94+O57</f>
        <v>50.41</v>
      </c>
      <c r="O57" s="26">
        <v>5.47</v>
      </c>
      <c r="P57" s="23">
        <v>0</v>
      </c>
      <c r="Q57" s="25">
        <f t="shared" si="19"/>
        <v>178.32999999999998</v>
      </c>
      <c r="R57" s="26">
        <v>154.62</v>
      </c>
      <c r="S57" s="42">
        <f>91.98+T57</f>
        <v>103.08</v>
      </c>
      <c r="T57" s="26">
        <v>11.1</v>
      </c>
      <c r="U57" s="23">
        <v>0</v>
      </c>
      <c r="V57" s="15">
        <f t="shared" si="9"/>
        <v>257.7</v>
      </c>
      <c r="W57" s="1">
        <v>137.21</v>
      </c>
      <c r="X57" s="1">
        <f>67.18+Y57</f>
        <v>82.88000000000001</v>
      </c>
      <c r="Y57" s="1">
        <v>15.7</v>
      </c>
      <c r="Z57" s="23">
        <v>0</v>
      </c>
      <c r="AA57" s="15">
        <f t="shared" si="10"/>
        <v>220.09000000000003</v>
      </c>
      <c r="AB57" s="1">
        <f>0.57+156.36</f>
        <v>156.93</v>
      </c>
      <c r="AC57" s="1">
        <f>26+48.62</f>
        <v>74.62</v>
      </c>
      <c r="AD57" s="1">
        <f>0.45+1.28+0.52+0.52+10.93</f>
        <v>13.7</v>
      </c>
      <c r="AE57" s="23">
        <v>0</v>
      </c>
      <c r="AF57" s="15">
        <f t="shared" si="11"/>
        <v>231.55</v>
      </c>
      <c r="AG57" s="1">
        <f>0.9+198.07</f>
        <v>198.97</v>
      </c>
      <c r="AH57" s="1">
        <f>16.55+6.21</f>
        <v>22.76</v>
      </c>
      <c r="AI57" s="26">
        <v>0</v>
      </c>
      <c r="AJ57" s="23">
        <v>0</v>
      </c>
      <c r="AK57" s="15">
        <f t="shared" si="2"/>
        <v>221.73</v>
      </c>
      <c r="AL57" s="26">
        <f aca="true" t="shared" si="100" ref="AL57:AL63">AG57+(AG57*BP57)</f>
        <v>232.79489999999998</v>
      </c>
      <c r="AM57" s="26">
        <f t="shared" si="87"/>
        <v>25.320500000000003</v>
      </c>
      <c r="AN57" s="26">
        <f t="shared" si="88"/>
        <v>0</v>
      </c>
      <c r="AO57" s="23">
        <v>0</v>
      </c>
      <c r="AP57" s="15">
        <f t="shared" si="3"/>
        <v>258.11539999999997</v>
      </c>
      <c r="AQ57" s="26">
        <f aca="true" t="shared" si="101" ref="AQ57:AQ63">AL57+(AL57*BP57)</f>
        <v>272.370033</v>
      </c>
      <c r="AR57" s="26">
        <f t="shared" si="89"/>
        <v>28.169056250000004</v>
      </c>
      <c r="AS57" s="26">
        <f t="shared" si="90"/>
        <v>0</v>
      </c>
      <c r="AT57" s="23">
        <v>0</v>
      </c>
      <c r="AU57" s="15">
        <f t="shared" si="4"/>
        <v>300.53908924999996</v>
      </c>
      <c r="AV57" s="26">
        <f aca="true" t="shared" si="102" ref="AV57:AV63">AQ57+(AQ57*BP57)</f>
        <v>318.67293860999996</v>
      </c>
      <c r="AW57" s="26">
        <f t="shared" si="91"/>
        <v>31.338075078125005</v>
      </c>
      <c r="AX57" s="26">
        <f t="shared" si="92"/>
        <v>0</v>
      </c>
      <c r="AY57" s="26"/>
      <c r="AZ57" s="15">
        <f t="shared" si="15"/>
        <v>350.011013688125</v>
      </c>
      <c r="BA57" s="26">
        <f aca="true" t="shared" si="103" ref="BA57:BA63">AV57+(AV57*BP57)</f>
        <v>372.84733817369994</v>
      </c>
      <c r="BB57" s="26">
        <f t="shared" si="93"/>
        <v>34.86360852441407</v>
      </c>
      <c r="BC57" s="26">
        <f t="shared" si="94"/>
        <v>0</v>
      </c>
      <c r="BD57" s="23">
        <v>0</v>
      </c>
      <c r="BE57" s="15">
        <f t="shared" si="6"/>
        <v>407.710946698114</v>
      </c>
      <c r="BF57" s="26">
        <f aca="true" t="shared" si="104" ref="BF57:BF63">BA57+(BA57*BP57)</f>
        <v>436.23138566322893</v>
      </c>
      <c r="BG57" s="26">
        <f t="shared" si="95"/>
        <v>38.78576448341065</v>
      </c>
      <c r="BH57" s="26">
        <f t="shared" si="96"/>
        <v>0</v>
      </c>
      <c r="BI57" s="23">
        <v>0</v>
      </c>
      <c r="BJ57" s="15">
        <f t="shared" si="7"/>
        <v>475.0171501466396</v>
      </c>
      <c r="BK57" s="26">
        <f aca="true" t="shared" si="105" ref="BK57:BK63">BF57+(BF57*BP57)</f>
        <v>510.39072122597787</v>
      </c>
      <c r="BL57" s="26">
        <f t="shared" si="97"/>
        <v>43.14916298779435</v>
      </c>
      <c r="BM57" s="26">
        <f t="shared" si="98"/>
        <v>0</v>
      </c>
      <c r="BN57" s="26">
        <f t="shared" si="99"/>
        <v>0</v>
      </c>
      <c r="BO57" s="15">
        <f t="shared" si="8"/>
        <v>553.5398842137722</v>
      </c>
      <c r="BP57" s="20">
        <v>0.17</v>
      </c>
      <c r="BQ57" s="18">
        <v>0.1125</v>
      </c>
    </row>
    <row r="58" spans="1:69" s="19" customFormat="1" ht="15">
      <c r="A58" s="21" t="s">
        <v>51</v>
      </c>
      <c r="B58" s="2" t="s">
        <v>52</v>
      </c>
      <c r="C58" s="1">
        <v>62.65</v>
      </c>
      <c r="D58" s="1">
        <f>36.55+E58</f>
        <v>37.26</v>
      </c>
      <c r="E58" s="1">
        <v>0.71</v>
      </c>
      <c r="F58" s="23">
        <v>0</v>
      </c>
      <c r="G58" s="15">
        <f t="shared" si="85"/>
        <v>99.91</v>
      </c>
      <c r="H58" s="1">
        <v>74.08</v>
      </c>
      <c r="I58" s="1">
        <f>48.12+J58</f>
        <v>48.57</v>
      </c>
      <c r="J58" s="1">
        <v>0.45</v>
      </c>
      <c r="K58" s="23">
        <v>0</v>
      </c>
      <c r="L58" s="15">
        <f t="shared" si="86"/>
        <v>122.65</v>
      </c>
      <c r="M58" s="26">
        <v>130.15</v>
      </c>
      <c r="N58" s="26">
        <f>53.4+O601</f>
        <v>53.4</v>
      </c>
      <c r="O58" s="26">
        <v>0.6</v>
      </c>
      <c r="P58" s="23">
        <v>0</v>
      </c>
      <c r="Q58" s="25">
        <f t="shared" si="19"/>
        <v>183.55</v>
      </c>
      <c r="R58" s="26">
        <v>157.34</v>
      </c>
      <c r="S58" s="26">
        <f>96.65+T58</f>
        <v>98.29</v>
      </c>
      <c r="T58" s="26">
        <v>1.64</v>
      </c>
      <c r="U58" s="23">
        <v>0</v>
      </c>
      <c r="V58" s="15">
        <f t="shared" si="9"/>
        <v>255.63</v>
      </c>
      <c r="W58" s="1">
        <v>148.28</v>
      </c>
      <c r="X58" s="1">
        <f>73.89+Y58</f>
        <v>75.64</v>
      </c>
      <c r="Y58" s="1">
        <v>1.75</v>
      </c>
      <c r="Z58" s="23">
        <v>0</v>
      </c>
      <c r="AA58" s="15">
        <f t="shared" si="10"/>
        <v>223.92000000000002</v>
      </c>
      <c r="AB58" s="1">
        <v>209.29</v>
      </c>
      <c r="AC58" s="1">
        <v>55.98</v>
      </c>
      <c r="AD58" s="1">
        <f>3.15+1.65+0.02+1.7</f>
        <v>6.52</v>
      </c>
      <c r="AE58" s="23">
        <v>0</v>
      </c>
      <c r="AF58" s="15">
        <f t="shared" si="11"/>
        <v>265.27</v>
      </c>
      <c r="AG58" s="1">
        <v>184.16</v>
      </c>
      <c r="AH58" s="1">
        <v>82.94</v>
      </c>
      <c r="AI58" s="26">
        <v>0</v>
      </c>
      <c r="AJ58" s="23">
        <v>0</v>
      </c>
      <c r="AK58" s="15">
        <f t="shared" si="2"/>
        <v>267.1</v>
      </c>
      <c r="AL58" s="26">
        <f t="shared" si="100"/>
        <v>215.4672</v>
      </c>
      <c r="AM58" s="26">
        <f t="shared" si="87"/>
        <v>92.27074999999999</v>
      </c>
      <c r="AN58" s="26">
        <f t="shared" si="88"/>
        <v>0</v>
      </c>
      <c r="AO58" s="23">
        <v>0</v>
      </c>
      <c r="AP58" s="15">
        <f t="shared" si="3"/>
        <v>307.73794999999996</v>
      </c>
      <c r="AQ58" s="26">
        <f t="shared" si="101"/>
        <v>252.096624</v>
      </c>
      <c r="AR58" s="26">
        <f t="shared" si="89"/>
        <v>102.651209375</v>
      </c>
      <c r="AS58" s="26">
        <f t="shared" si="90"/>
        <v>0</v>
      </c>
      <c r="AT58" s="23">
        <v>0</v>
      </c>
      <c r="AU58" s="15">
        <f t="shared" si="4"/>
        <v>354.74783337499997</v>
      </c>
      <c r="AV58" s="26">
        <f t="shared" si="102"/>
        <v>294.95305007999997</v>
      </c>
      <c r="AW58" s="26">
        <f t="shared" si="91"/>
        <v>114.1994704296875</v>
      </c>
      <c r="AX58" s="26">
        <f t="shared" si="92"/>
        <v>0</v>
      </c>
      <c r="AY58" s="26"/>
      <c r="AZ58" s="15">
        <f t="shared" si="15"/>
        <v>409.15252050968746</v>
      </c>
      <c r="BA58" s="26">
        <f t="shared" si="103"/>
        <v>345.0950685936</v>
      </c>
      <c r="BB58" s="26">
        <f t="shared" si="93"/>
        <v>127.04691085302734</v>
      </c>
      <c r="BC58" s="26">
        <f t="shared" si="94"/>
        <v>0</v>
      </c>
      <c r="BD58" s="23">
        <v>0</v>
      </c>
      <c r="BE58" s="15">
        <f t="shared" si="6"/>
        <v>472.1419794466273</v>
      </c>
      <c r="BF58" s="26">
        <f t="shared" si="104"/>
        <v>403.761230254512</v>
      </c>
      <c r="BG58" s="26">
        <f t="shared" si="95"/>
        <v>141.33968832399293</v>
      </c>
      <c r="BH58" s="26">
        <f t="shared" si="96"/>
        <v>0</v>
      </c>
      <c r="BI58" s="23">
        <v>0</v>
      </c>
      <c r="BJ58" s="15">
        <f t="shared" si="7"/>
        <v>545.1009185785049</v>
      </c>
      <c r="BK58" s="26">
        <f t="shared" si="105"/>
        <v>472.40063939777906</v>
      </c>
      <c r="BL58" s="26">
        <f t="shared" si="97"/>
        <v>157.24040326044212</v>
      </c>
      <c r="BM58" s="26">
        <f t="shared" si="98"/>
        <v>0</v>
      </c>
      <c r="BN58" s="26">
        <f t="shared" si="99"/>
        <v>0</v>
      </c>
      <c r="BO58" s="15">
        <f t="shared" si="8"/>
        <v>629.6410426582212</v>
      </c>
      <c r="BP58" s="20">
        <v>0.17</v>
      </c>
      <c r="BQ58" s="18">
        <v>0.1125</v>
      </c>
    </row>
    <row r="59" spans="1:69" s="19" customFormat="1" ht="30">
      <c r="A59" s="21" t="s">
        <v>30</v>
      </c>
      <c r="B59" s="2" t="s">
        <v>53</v>
      </c>
      <c r="C59" s="31">
        <v>1.4</v>
      </c>
      <c r="D59" s="31">
        <v>4.72</v>
      </c>
      <c r="E59" s="40">
        <v>0</v>
      </c>
      <c r="F59" s="23">
        <v>0</v>
      </c>
      <c r="G59" s="15">
        <f t="shared" si="85"/>
        <v>6.119999999999999</v>
      </c>
      <c r="H59" s="1">
        <v>1.63</v>
      </c>
      <c r="I59" s="1">
        <v>5.19</v>
      </c>
      <c r="J59" s="26">
        <v>0</v>
      </c>
      <c r="K59" s="23">
        <v>0</v>
      </c>
      <c r="L59" s="15">
        <f t="shared" si="86"/>
        <v>6.82</v>
      </c>
      <c r="M59" s="26">
        <v>3.66</v>
      </c>
      <c r="N59" s="26">
        <v>9.33</v>
      </c>
      <c r="O59" s="26">
        <v>0</v>
      </c>
      <c r="P59" s="23">
        <v>0</v>
      </c>
      <c r="Q59" s="25">
        <f t="shared" si="19"/>
        <v>12.99</v>
      </c>
      <c r="R59" s="26">
        <v>4.2</v>
      </c>
      <c r="S59" s="26">
        <v>9.39</v>
      </c>
      <c r="T59" s="26">
        <v>0</v>
      </c>
      <c r="U59" s="23">
        <v>0</v>
      </c>
      <c r="V59" s="15">
        <f t="shared" si="9"/>
        <v>13.59</v>
      </c>
      <c r="W59" s="1">
        <v>4.73</v>
      </c>
      <c r="X59" s="1">
        <v>9.74</v>
      </c>
      <c r="Y59" s="26">
        <v>0</v>
      </c>
      <c r="Z59" s="23">
        <v>0</v>
      </c>
      <c r="AA59" s="15">
        <f t="shared" si="10"/>
        <v>14.47</v>
      </c>
      <c r="AB59" s="1">
        <v>4.99</v>
      </c>
      <c r="AC59" s="1">
        <v>11.27</v>
      </c>
      <c r="AD59" s="23">
        <v>0</v>
      </c>
      <c r="AE59" s="23">
        <v>0</v>
      </c>
      <c r="AF59" s="15">
        <f t="shared" si="11"/>
        <v>16.259999999999998</v>
      </c>
      <c r="AG59" s="1">
        <v>5.73</v>
      </c>
      <c r="AH59" s="1">
        <v>11.67</v>
      </c>
      <c r="AI59" s="26">
        <v>0</v>
      </c>
      <c r="AJ59" s="23">
        <v>0</v>
      </c>
      <c r="AK59" s="15">
        <f t="shared" si="2"/>
        <v>17.4</v>
      </c>
      <c r="AL59" s="26">
        <f t="shared" si="100"/>
        <v>6.7041</v>
      </c>
      <c r="AM59" s="26">
        <f t="shared" si="87"/>
        <v>12.982875</v>
      </c>
      <c r="AN59" s="26">
        <f t="shared" si="88"/>
        <v>0</v>
      </c>
      <c r="AO59" s="23">
        <v>0</v>
      </c>
      <c r="AP59" s="15">
        <f t="shared" si="3"/>
        <v>19.686975</v>
      </c>
      <c r="AQ59" s="26">
        <f t="shared" si="101"/>
        <v>7.843797</v>
      </c>
      <c r="AR59" s="26">
        <f t="shared" si="89"/>
        <v>14.4434484375</v>
      </c>
      <c r="AS59" s="26">
        <f t="shared" si="90"/>
        <v>0</v>
      </c>
      <c r="AT59" s="23">
        <v>0</v>
      </c>
      <c r="AU59" s="15">
        <f t="shared" si="4"/>
        <v>22.2872454375</v>
      </c>
      <c r="AV59" s="26">
        <f t="shared" si="102"/>
        <v>9.177242490000001</v>
      </c>
      <c r="AW59" s="26">
        <f t="shared" si="91"/>
        <v>16.06833638671875</v>
      </c>
      <c r="AX59" s="26">
        <f t="shared" si="92"/>
        <v>0</v>
      </c>
      <c r="AY59" s="26"/>
      <c r="AZ59" s="15">
        <f t="shared" si="15"/>
        <v>25.245578876718753</v>
      </c>
      <c r="BA59" s="26">
        <f t="shared" si="103"/>
        <v>10.737373713300002</v>
      </c>
      <c r="BB59" s="26">
        <f t="shared" si="93"/>
        <v>17.876024230224612</v>
      </c>
      <c r="BC59" s="26">
        <f t="shared" si="94"/>
        <v>0</v>
      </c>
      <c r="BD59" s="23">
        <v>0</v>
      </c>
      <c r="BE59" s="15">
        <f t="shared" si="6"/>
        <v>28.613397943524614</v>
      </c>
      <c r="BF59" s="26">
        <f t="shared" si="104"/>
        <v>12.562727244561003</v>
      </c>
      <c r="BG59" s="26">
        <f t="shared" si="95"/>
        <v>19.88707695612488</v>
      </c>
      <c r="BH59" s="26">
        <f t="shared" si="96"/>
        <v>0</v>
      </c>
      <c r="BI59" s="23">
        <v>0</v>
      </c>
      <c r="BJ59" s="15">
        <f t="shared" si="7"/>
        <v>32.44980420068588</v>
      </c>
      <c r="BK59" s="26">
        <f t="shared" si="105"/>
        <v>14.698390876136374</v>
      </c>
      <c r="BL59" s="26">
        <f t="shared" si="97"/>
        <v>22.12437311368893</v>
      </c>
      <c r="BM59" s="26">
        <f t="shared" si="98"/>
        <v>0</v>
      </c>
      <c r="BN59" s="26">
        <f t="shared" si="99"/>
        <v>0</v>
      </c>
      <c r="BO59" s="15">
        <f t="shared" si="8"/>
        <v>36.822763989825305</v>
      </c>
      <c r="BP59" s="20">
        <v>0.17</v>
      </c>
      <c r="BQ59" s="18">
        <v>0.1125</v>
      </c>
    </row>
    <row r="60" spans="1:69" s="19" customFormat="1" ht="15">
      <c r="A60" s="21" t="s">
        <v>31</v>
      </c>
      <c r="B60" s="2" t="s">
        <v>54</v>
      </c>
      <c r="C60" s="1">
        <v>0</v>
      </c>
      <c r="D60" s="23">
        <v>0</v>
      </c>
      <c r="E60" s="23">
        <v>0</v>
      </c>
      <c r="F60" s="23">
        <v>0</v>
      </c>
      <c r="G60" s="15">
        <f t="shared" si="85"/>
        <v>0</v>
      </c>
      <c r="H60" s="26">
        <v>0</v>
      </c>
      <c r="I60" s="26">
        <v>0</v>
      </c>
      <c r="J60" s="26">
        <v>0</v>
      </c>
      <c r="K60" s="23">
        <v>0</v>
      </c>
      <c r="L60" s="15">
        <f t="shared" si="86"/>
        <v>0</v>
      </c>
      <c r="M60" s="26">
        <v>0</v>
      </c>
      <c r="N60" s="26">
        <v>0</v>
      </c>
      <c r="O60" s="26">
        <v>0</v>
      </c>
      <c r="P60" s="23">
        <v>0</v>
      </c>
      <c r="Q60" s="25">
        <f t="shared" si="19"/>
        <v>0</v>
      </c>
      <c r="R60" s="26">
        <v>0</v>
      </c>
      <c r="S60" s="26">
        <v>0.06</v>
      </c>
      <c r="T60" s="26">
        <v>0</v>
      </c>
      <c r="U60" s="23">
        <v>0</v>
      </c>
      <c r="V60" s="15">
        <f t="shared" si="9"/>
        <v>0.06</v>
      </c>
      <c r="W60" s="26">
        <v>0</v>
      </c>
      <c r="X60" s="26">
        <v>0</v>
      </c>
      <c r="Y60" s="26">
        <v>0</v>
      </c>
      <c r="Z60" s="23">
        <v>0</v>
      </c>
      <c r="AA60" s="15">
        <f t="shared" si="10"/>
        <v>0</v>
      </c>
      <c r="AB60" s="26">
        <v>0</v>
      </c>
      <c r="AC60" s="1">
        <v>0.02</v>
      </c>
      <c r="AD60" s="23">
        <v>0</v>
      </c>
      <c r="AE60" s="23">
        <v>0</v>
      </c>
      <c r="AF60" s="15">
        <f t="shared" si="11"/>
        <v>0.02</v>
      </c>
      <c r="AG60" s="26">
        <v>0</v>
      </c>
      <c r="AH60" s="1">
        <v>0.1</v>
      </c>
      <c r="AI60" s="26">
        <v>0</v>
      </c>
      <c r="AJ60" s="23">
        <v>0</v>
      </c>
      <c r="AK60" s="15">
        <f t="shared" si="2"/>
        <v>0.1</v>
      </c>
      <c r="AL60" s="26">
        <f t="shared" si="100"/>
        <v>0</v>
      </c>
      <c r="AM60" s="26">
        <f t="shared" si="87"/>
        <v>0.11125</v>
      </c>
      <c r="AN60" s="26">
        <f t="shared" si="88"/>
        <v>0</v>
      </c>
      <c r="AO60" s="23">
        <v>0</v>
      </c>
      <c r="AP60" s="15">
        <f t="shared" si="3"/>
        <v>0.11125</v>
      </c>
      <c r="AQ60" s="26">
        <f t="shared" si="101"/>
        <v>0</v>
      </c>
      <c r="AR60" s="26">
        <f t="shared" si="89"/>
        <v>0.123765625</v>
      </c>
      <c r="AS60" s="26">
        <f t="shared" si="90"/>
        <v>0</v>
      </c>
      <c r="AT60" s="23">
        <v>0</v>
      </c>
      <c r="AU60" s="15">
        <f t="shared" si="4"/>
        <v>0.123765625</v>
      </c>
      <c r="AV60" s="26">
        <f t="shared" si="102"/>
        <v>0</v>
      </c>
      <c r="AW60" s="26">
        <f t="shared" si="91"/>
        <v>0.1376892578125</v>
      </c>
      <c r="AX60" s="26">
        <f t="shared" si="92"/>
        <v>0</v>
      </c>
      <c r="AY60" s="26"/>
      <c r="AZ60" s="15">
        <f t="shared" si="15"/>
        <v>0.1376892578125</v>
      </c>
      <c r="BA60" s="26">
        <f t="shared" si="103"/>
        <v>0</v>
      </c>
      <c r="BB60" s="26">
        <f t="shared" si="93"/>
        <v>0.15317929931640625</v>
      </c>
      <c r="BC60" s="26">
        <f t="shared" si="94"/>
        <v>0</v>
      </c>
      <c r="BD60" s="23">
        <v>0</v>
      </c>
      <c r="BE60" s="15">
        <f t="shared" si="6"/>
        <v>0.15317929931640625</v>
      </c>
      <c r="BF60" s="26">
        <f t="shared" si="104"/>
        <v>0</v>
      </c>
      <c r="BG60" s="26">
        <f t="shared" si="95"/>
        <v>0.17041197048950196</v>
      </c>
      <c r="BH60" s="26">
        <f t="shared" si="96"/>
        <v>0</v>
      </c>
      <c r="BI60" s="23">
        <v>0</v>
      </c>
      <c r="BJ60" s="15">
        <f t="shared" si="7"/>
        <v>0.17041197048950196</v>
      </c>
      <c r="BK60" s="26">
        <f t="shared" si="105"/>
        <v>0</v>
      </c>
      <c r="BL60" s="26">
        <f t="shared" si="97"/>
        <v>0.18958331716957094</v>
      </c>
      <c r="BM60" s="26">
        <f t="shared" si="98"/>
        <v>0</v>
      </c>
      <c r="BN60" s="26">
        <f t="shared" si="99"/>
        <v>0</v>
      </c>
      <c r="BO60" s="15">
        <f t="shared" si="8"/>
        <v>0.18958331716957094</v>
      </c>
      <c r="BP60" s="20"/>
      <c r="BQ60" s="18">
        <v>0.1125</v>
      </c>
    </row>
    <row r="61" spans="1:69" s="19" customFormat="1" ht="15">
      <c r="A61" s="21" t="s">
        <v>55</v>
      </c>
      <c r="B61" s="2" t="s">
        <v>56</v>
      </c>
      <c r="C61" s="1">
        <v>0</v>
      </c>
      <c r="D61" s="1">
        <f>0.06+E61</f>
        <v>0.06999999999999999</v>
      </c>
      <c r="E61" s="23">
        <v>0.01</v>
      </c>
      <c r="F61" s="23">
        <v>0</v>
      </c>
      <c r="G61" s="15">
        <f t="shared" si="85"/>
        <v>0.06999999999999999</v>
      </c>
      <c r="H61" s="26">
        <v>0</v>
      </c>
      <c r="I61" s="1">
        <v>0.08</v>
      </c>
      <c r="J61" s="26">
        <v>0</v>
      </c>
      <c r="K61" s="23">
        <v>0</v>
      </c>
      <c r="L61" s="15">
        <f t="shared" si="86"/>
        <v>0.08</v>
      </c>
      <c r="M61" s="26">
        <v>0</v>
      </c>
      <c r="N61" s="26">
        <v>0.05</v>
      </c>
      <c r="O61" s="26">
        <v>0</v>
      </c>
      <c r="P61" s="23">
        <v>0</v>
      </c>
      <c r="Q61" s="25">
        <f t="shared" si="19"/>
        <v>0.05</v>
      </c>
      <c r="R61" s="26">
        <v>0</v>
      </c>
      <c r="S61" s="26">
        <v>0.03</v>
      </c>
      <c r="T61" s="26">
        <v>0</v>
      </c>
      <c r="U61" s="23">
        <v>0</v>
      </c>
      <c r="V61" s="15">
        <f t="shared" si="9"/>
        <v>0.03</v>
      </c>
      <c r="W61" s="26">
        <v>0</v>
      </c>
      <c r="X61" s="26">
        <v>0</v>
      </c>
      <c r="Y61" s="26">
        <v>0</v>
      </c>
      <c r="Z61" s="23">
        <v>0</v>
      </c>
      <c r="AA61" s="15">
        <f t="shared" si="10"/>
        <v>0</v>
      </c>
      <c r="AB61" s="26">
        <v>0</v>
      </c>
      <c r="AC61" s="1">
        <v>0.2</v>
      </c>
      <c r="AD61" s="23">
        <v>0</v>
      </c>
      <c r="AE61" s="23">
        <v>0</v>
      </c>
      <c r="AF61" s="15">
        <f t="shared" si="11"/>
        <v>0.2</v>
      </c>
      <c r="AG61" s="26">
        <v>0</v>
      </c>
      <c r="AH61" s="1">
        <v>0.08</v>
      </c>
      <c r="AI61" s="26">
        <v>0</v>
      </c>
      <c r="AJ61" s="23">
        <v>0</v>
      </c>
      <c r="AK61" s="15">
        <f t="shared" si="2"/>
        <v>0.08</v>
      </c>
      <c r="AL61" s="26">
        <f t="shared" si="100"/>
        <v>0</v>
      </c>
      <c r="AM61" s="26">
        <f t="shared" si="87"/>
        <v>0.089</v>
      </c>
      <c r="AN61" s="26">
        <f t="shared" si="88"/>
        <v>0</v>
      </c>
      <c r="AO61" s="23">
        <v>0</v>
      </c>
      <c r="AP61" s="15">
        <f t="shared" si="3"/>
        <v>0.089</v>
      </c>
      <c r="AQ61" s="26">
        <f t="shared" si="101"/>
        <v>0</v>
      </c>
      <c r="AR61" s="26">
        <f t="shared" si="89"/>
        <v>0.0990125</v>
      </c>
      <c r="AS61" s="26">
        <f t="shared" si="90"/>
        <v>0</v>
      </c>
      <c r="AT61" s="23">
        <v>0</v>
      </c>
      <c r="AU61" s="15">
        <f t="shared" si="4"/>
        <v>0.0990125</v>
      </c>
      <c r="AV61" s="26">
        <f t="shared" si="102"/>
        <v>0</v>
      </c>
      <c r="AW61" s="26">
        <f t="shared" si="91"/>
        <v>0.11015140625</v>
      </c>
      <c r="AX61" s="26">
        <f t="shared" si="92"/>
        <v>0</v>
      </c>
      <c r="AY61" s="26"/>
      <c r="AZ61" s="15">
        <f t="shared" si="15"/>
        <v>0.11015140625</v>
      </c>
      <c r="BA61" s="26">
        <f t="shared" si="103"/>
        <v>0</v>
      </c>
      <c r="BB61" s="26">
        <f t="shared" si="93"/>
        <v>0.122543439453125</v>
      </c>
      <c r="BC61" s="26">
        <f t="shared" si="94"/>
        <v>0</v>
      </c>
      <c r="BD61" s="23">
        <v>0</v>
      </c>
      <c r="BE61" s="15">
        <f t="shared" si="6"/>
        <v>0.122543439453125</v>
      </c>
      <c r="BF61" s="26">
        <f t="shared" si="104"/>
        <v>0</v>
      </c>
      <c r="BG61" s="26">
        <f t="shared" si="95"/>
        <v>0.13632957639160156</v>
      </c>
      <c r="BH61" s="26">
        <f t="shared" si="96"/>
        <v>0</v>
      </c>
      <c r="BI61" s="23">
        <v>0</v>
      </c>
      <c r="BJ61" s="15">
        <f t="shared" si="7"/>
        <v>0.13632957639160156</v>
      </c>
      <c r="BK61" s="26">
        <f t="shared" si="105"/>
        <v>0</v>
      </c>
      <c r="BL61" s="26">
        <f t="shared" si="97"/>
        <v>0.15166665373565674</v>
      </c>
      <c r="BM61" s="26">
        <f t="shared" si="98"/>
        <v>0</v>
      </c>
      <c r="BN61" s="26">
        <f t="shared" si="99"/>
        <v>0</v>
      </c>
      <c r="BO61" s="15">
        <f t="shared" si="8"/>
        <v>0.15166665373565674</v>
      </c>
      <c r="BP61" s="20"/>
      <c r="BQ61" s="18">
        <v>0.1125</v>
      </c>
    </row>
    <row r="62" spans="1:69" s="19" customFormat="1" ht="15">
      <c r="A62" s="21">
        <v>80</v>
      </c>
      <c r="B62" s="2" t="s">
        <v>57</v>
      </c>
      <c r="C62" s="1">
        <v>2.44</v>
      </c>
      <c r="D62" s="1">
        <v>3.7</v>
      </c>
      <c r="E62" s="23">
        <v>0</v>
      </c>
      <c r="F62" s="23">
        <v>0</v>
      </c>
      <c r="G62" s="15">
        <f t="shared" si="85"/>
        <v>6.140000000000001</v>
      </c>
      <c r="H62" s="1">
        <v>2.53</v>
      </c>
      <c r="I62" s="1">
        <v>7.83</v>
      </c>
      <c r="J62" s="26">
        <v>0</v>
      </c>
      <c r="K62" s="23">
        <v>0</v>
      </c>
      <c r="L62" s="15">
        <f t="shared" si="86"/>
        <v>10.36</v>
      </c>
      <c r="M62" s="26">
        <v>4.36</v>
      </c>
      <c r="N62" s="26">
        <v>10.15</v>
      </c>
      <c r="O62" s="26">
        <v>0</v>
      </c>
      <c r="P62" s="23">
        <v>0</v>
      </c>
      <c r="Q62" s="25">
        <f t="shared" si="19"/>
        <v>14.510000000000002</v>
      </c>
      <c r="R62" s="26">
        <v>5.14</v>
      </c>
      <c r="S62" s="26">
        <v>7.6</v>
      </c>
      <c r="T62" s="26">
        <v>0</v>
      </c>
      <c r="U62" s="23">
        <v>0</v>
      </c>
      <c r="V62" s="15">
        <f t="shared" si="9"/>
        <v>12.739999999999998</v>
      </c>
      <c r="W62" s="26">
        <v>5.96</v>
      </c>
      <c r="X62" s="26">
        <v>8.5</v>
      </c>
      <c r="Y62" s="26">
        <v>0</v>
      </c>
      <c r="Z62" s="23">
        <v>0</v>
      </c>
      <c r="AA62" s="15">
        <f t="shared" si="10"/>
        <v>14.46</v>
      </c>
      <c r="AB62" s="1">
        <v>5.82</v>
      </c>
      <c r="AC62" s="1">
        <v>12.33</v>
      </c>
      <c r="AD62" s="23">
        <v>0</v>
      </c>
      <c r="AE62" s="23">
        <v>0</v>
      </c>
      <c r="AF62" s="15">
        <f t="shared" si="11"/>
        <v>18.15</v>
      </c>
      <c r="AG62" s="1">
        <v>6.1</v>
      </c>
      <c r="AH62" s="1">
        <v>3.57</v>
      </c>
      <c r="AI62" s="26">
        <v>0</v>
      </c>
      <c r="AJ62" s="23">
        <v>0</v>
      </c>
      <c r="AK62" s="15">
        <f t="shared" si="2"/>
        <v>9.67</v>
      </c>
      <c r="AL62" s="26">
        <f t="shared" si="100"/>
        <v>6.78625</v>
      </c>
      <c r="AM62" s="26">
        <f t="shared" si="87"/>
        <v>3.971625</v>
      </c>
      <c r="AN62" s="26">
        <f t="shared" si="88"/>
        <v>0</v>
      </c>
      <c r="AO62" s="23">
        <v>0</v>
      </c>
      <c r="AP62" s="15">
        <f t="shared" si="3"/>
        <v>10.757875</v>
      </c>
      <c r="AQ62" s="26">
        <f t="shared" si="101"/>
        <v>7.549703125</v>
      </c>
      <c r="AR62" s="26">
        <f t="shared" si="89"/>
        <v>4.4184328125</v>
      </c>
      <c r="AS62" s="26">
        <f t="shared" si="90"/>
        <v>0</v>
      </c>
      <c r="AT62" s="23">
        <v>0</v>
      </c>
      <c r="AU62" s="15">
        <f t="shared" si="4"/>
        <v>11.9681359375</v>
      </c>
      <c r="AV62" s="26">
        <f t="shared" si="102"/>
        <v>8.399044726562499</v>
      </c>
      <c r="AW62" s="26">
        <f t="shared" si="91"/>
        <v>4.91550650390625</v>
      </c>
      <c r="AX62" s="26">
        <f t="shared" si="92"/>
        <v>0</v>
      </c>
      <c r="AY62" s="26"/>
      <c r="AZ62" s="15">
        <f t="shared" si="15"/>
        <v>13.314551230468748</v>
      </c>
      <c r="BA62" s="26">
        <f t="shared" si="103"/>
        <v>9.34393725830078</v>
      </c>
      <c r="BB62" s="26">
        <f t="shared" si="93"/>
        <v>5.4685009855957025</v>
      </c>
      <c r="BC62" s="26">
        <f t="shared" si="94"/>
        <v>0</v>
      </c>
      <c r="BD62" s="23">
        <v>0</v>
      </c>
      <c r="BE62" s="15">
        <f t="shared" si="6"/>
        <v>14.812438243896484</v>
      </c>
      <c r="BF62" s="26">
        <f t="shared" si="104"/>
        <v>10.395130199859619</v>
      </c>
      <c r="BG62" s="26">
        <f t="shared" si="95"/>
        <v>6.083707346475219</v>
      </c>
      <c r="BH62" s="26">
        <f t="shared" si="96"/>
        <v>0</v>
      </c>
      <c r="BI62" s="23">
        <v>0</v>
      </c>
      <c r="BJ62" s="15">
        <f t="shared" si="7"/>
        <v>16.478837546334837</v>
      </c>
      <c r="BK62" s="26">
        <f t="shared" si="105"/>
        <v>11.564582347343826</v>
      </c>
      <c r="BL62" s="26">
        <f t="shared" si="97"/>
        <v>6.768124422953681</v>
      </c>
      <c r="BM62" s="26">
        <f t="shared" si="98"/>
        <v>0</v>
      </c>
      <c r="BN62" s="26">
        <f t="shared" si="99"/>
        <v>0</v>
      </c>
      <c r="BO62" s="15">
        <f t="shared" si="8"/>
        <v>18.332706770297506</v>
      </c>
      <c r="BP62" s="20">
        <v>0.1125</v>
      </c>
      <c r="BQ62" s="18">
        <v>0.1125</v>
      </c>
    </row>
    <row r="63" spans="1:69" s="19" customFormat="1" ht="15">
      <c r="A63" s="21">
        <v>2203</v>
      </c>
      <c r="B63" s="2" t="s">
        <v>172</v>
      </c>
      <c r="C63" s="1">
        <v>0</v>
      </c>
      <c r="D63" s="1">
        <v>2.56</v>
      </c>
      <c r="E63" s="23">
        <v>0</v>
      </c>
      <c r="F63" s="23">
        <v>0</v>
      </c>
      <c r="G63" s="15">
        <f t="shared" si="85"/>
        <v>2.56</v>
      </c>
      <c r="H63" s="26">
        <v>0</v>
      </c>
      <c r="I63" s="1">
        <v>2.52</v>
      </c>
      <c r="J63" s="26">
        <v>0</v>
      </c>
      <c r="K63" s="23">
        <v>0</v>
      </c>
      <c r="L63" s="15">
        <f t="shared" si="86"/>
        <v>2.52</v>
      </c>
      <c r="M63" s="26">
        <v>0</v>
      </c>
      <c r="N63" s="26">
        <v>2.01</v>
      </c>
      <c r="O63" s="26">
        <v>0</v>
      </c>
      <c r="P63" s="23">
        <v>0</v>
      </c>
      <c r="Q63" s="25">
        <f t="shared" si="19"/>
        <v>2.01</v>
      </c>
      <c r="R63" s="26">
        <v>0</v>
      </c>
      <c r="S63" s="26">
        <v>0.58</v>
      </c>
      <c r="T63" s="26">
        <v>0</v>
      </c>
      <c r="U63" s="23">
        <v>0</v>
      </c>
      <c r="V63" s="15">
        <f t="shared" si="9"/>
        <v>0.58</v>
      </c>
      <c r="W63" s="26">
        <v>0</v>
      </c>
      <c r="X63" s="26">
        <v>1.38</v>
      </c>
      <c r="Y63" s="26">
        <v>0</v>
      </c>
      <c r="Z63" s="23">
        <v>0</v>
      </c>
      <c r="AA63" s="15">
        <f t="shared" si="10"/>
        <v>1.38</v>
      </c>
      <c r="AB63" s="1"/>
      <c r="AC63" s="1">
        <v>1.39</v>
      </c>
      <c r="AD63" s="23">
        <v>0</v>
      </c>
      <c r="AE63" s="23">
        <v>0</v>
      </c>
      <c r="AF63" s="15">
        <f t="shared" si="11"/>
        <v>1.39</v>
      </c>
      <c r="AG63" s="1"/>
      <c r="AH63" s="1">
        <v>0.49</v>
      </c>
      <c r="AI63" s="26">
        <v>0</v>
      </c>
      <c r="AJ63" s="23">
        <v>0</v>
      </c>
      <c r="AK63" s="15">
        <f t="shared" si="2"/>
        <v>0.49</v>
      </c>
      <c r="AL63" s="26">
        <f t="shared" si="100"/>
        <v>0</v>
      </c>
      <c r="AM63" s="26">
        <f t="shared" si="87"/>
        <v>0.545125</v>
      </c>
      <c r="AN63" s="26">
        <f t="shared" si="88"/>
        <v>0</v>
      </c>
      <c r="AO63" s="23">
        <v>0</v>
      </c>
      <c r="AP63" s="15">
        <f t="shared" si="3"/>
        <v>0.545125</v>
      </c>
      <c r="AQ63" s="26">
        <f t="shared" si="101"/>
        <v>0</v>
      </c>
      <c r="AR63" s="26">
        <f t="shared" si="89"/>
        <v>0.6064515625</v>
      </c>
      <c r="AS63" s="26">
        <f t="shared" si="90"/>
        <v>0</v>
      </c>
      <c r="AT63" s="23">
        <v>0</v>
      </c>
      <c r="AU63" s="15">
        <f t="shared" si="4"/>
        <v>0.6064515625</v>
      </c>
      <c r="AV63" s="26">
        <f t="shared" si="102"/>
        <v>0</v>
      </c>
      <c r="AW63" s="26">
        <f t="shared" si="91"/>
        <v>0.6746773632812499</v>
      </c>
      <c r="AX63" s="26">
        <f t="shared" si="92"/>
        <v>0</v>
      </c>
      <c r="AY63" s="26"/>
      <c r="AZ63" s="15">
        <f t="shared" si="15"/>
        <v>0.6746773632812499</v>
      </c>
      <c r="BA63" s="26">
        <f t="shared" si="103"/>
        <v>0</v>
      </c>
      <c r="BB63" s="26">
        <f t="shared" si="93"/>
        <v>0.7505785666503906</v>
      </c>
      <c r="BC63" s="26">
        <f t="shared" si="94"/>
        <v>0</v>
      </c>
      <c r="BD63" s="23">
        <v>0</v>
      </c>
      <c r="BE63" s="15">
        <f t="shared" si="6"/>
        <v>0.7505785666503906</v>
      </c>
      <c r="BF63" s="26">
        <f t="shared" si="104"/>
        <v>0</v>
      </c>
      <c r="BG63" s="26">
        <f t="shared" si="95"/>
        <v>0.8350186553985595</v>
      </c>
      <c r="BH63" s="26">
        <f t="shared" si="96"/>
        <v>0</v>
      </c>
      <c r="BI63" s="23">
        <v>0</v>
      </c>
      <c r="BJ63" s="15">
        <f t="shared" si="7"/>
        <v>0.8350186553985595</v>
      </c>
      <c r="BK63" s="26">
        <f t="shared" si="105"/>
        <v>0</v>
      </c>
      <c r="BL63" s="26">
        <f t="shared" si="97"/>
        <v>0.9289582541308974</v>
      </c>
      <c r="BM63" s="26">
        <f t="shared" si="98"/>
        <v>0</v>
      </c>
      <c r="BN63" s="26">
        <f t="shared" si="99"/>
        <v>0</v>
      </c>
      <c r="BO63" s="15">
        <f t="shared" si="8"/>
        <v>0.9289582541308974</v>
      </c>
      <c r="BP63" s="20"/>
      <c r="BQ63" s="18">
        <v>0.1125</v>
      </c>
    </row>
    <row r="64" spans="1:69" s="19" customFormat="1" ht="15">
      <c r="A64" s="21">
        <v>2204</v>
      </c>
      <c r="B64" s="2" t="s">
        <v>173</v>
      </c>
      <c r="C64" s="1">
        <v>1.13</v>
      </c>
      <c r="D64" s="1">
        <f>4.78+E64</f>
        <v>5.5200000000000005</v>
      </c>
      <c r="E64" s="1">
        <v>0.74</v>
      </c>
      <c r="F64" s="23">
        <v>0</v>
      </c>
      <c r="G64" s="15">
        <f t="shared" si="85"/>
        <v>6.65</v>
      </c>
      <c r="H64" s="1">
        <v>1.18</v>
      </c>
      <c r="I64" s="1">
        <f>4.56+J64</f>
        <v>4.93</v>
      </c>
      <c r="J64" s="1">
        <v>0.37</v>
      </c>
      <c r="K64" s="23">
        <v>0</v>
      </c>
      <c r="L64" s="15">
        <f t="shared" si="86"/>
        <v>6.109999999999999</v>
      </c>
      <c r="M64" s="26">
        <v>2.42</v>
      </c>
      <c r="N64" s="26">
        <f>6.17+O64</f>
        <v>7.07</v>
      </c>
      <c r="O64" s="26">
        <f>0.16+0.74</f>
        <v>0.9</v>
      </c>
      <c r="P64" s="23">
        <v>0</v>
      </c>
      <c r="Q64" s="25">
        <f t="shared" si="19"/>
        <v>9.49</v>
      </c>
      <c r="R64" s="26">
        <v>1.62</v>
      </c>
      <c r="S64" s="26">
        <f>2.8+T64</f>
        <v>3.46</v>
      </c>
      <c r="T64" s="26">
        <v>0.66</v>
      </c>
      <c r="U64" s="23">
        <v>0</v>
      </c>
      <c r="V64" s="15">
        <f t="shared" si="9"/>
        <v>5.08</v>
      </c>
      <c r="W64" s="26">
        <v>1.71</v>
      </c>
      <c r="X64" s="26">
        <f>4.93+Y64</f>
        <v>6.56</v>
      </c>
      <c r="Y64" s="26">
        <v>1.63</v>
      </c>
      <c r="Z64" s="23">
        <v>0.35</v>
      </c>
      <c r="AA64" s="15">
        <f t="shared" si="10"/>
        <v>8.27</v>
      </c>
      <c r="AB64" s="1">
        <v>1.83</v>
      </c>
      <c r="AC64" s="1">
        <v>7.44</v>
      </c>
      <c r="AD64" s="1">
        <f>+((0.29+0.29+1.48)*0.75)+2.64</f>
        <v>4.1850000000000005</v>
      </c>
      <c r="AE64" s="23">
        <v>0.03</v>
      </c>
      <c r="AF64" s="15">
        <f t="shared" si="11"/>
        <v>9.27</v>
      </c>
      <c r="AG64" s="1">
        <v>2.09</v>
      </c>
      <c r="AH64" s="1">
        <v>5.94</v>
      </c>
      <c r="AI64" s="26">
        <v>2.14</v>
      </c>
      <c r="AJ64" s="23">
        <v>2.59</v>
      </c>
      <c r="AK64" s="15">
        <f t="shared" si="2"/>
        <v>8.030000000000001</v>
      </c>
      <c r="AL64" s="26">
        <f t="shared" si="87"/>
        <v>2.2750260462114675</v>
      </c>
      <c r="AM64" s="26">
        <f t="shared" si="87"/>
        <v>6.60825</v>
      </c>
      <c r="AN64" s="26">
        <f t="shared" si="88"/>
        <v>2.38075</v>
      </c>
      <c r="AO64" s="23">
        <v>0</v>
      </c>
      <c r="AP64" s="15">
        <f t="shared" si="3"/>
        <v>8.883276046211467</v>
      </c>
      <c r="AQ64" s="26">
        <f t="shared" si="89"/>
        <v>2.4764323018854464</v>
      </c>
      <c r="AR64" s="26">
        <f t="shared" si="89"/>
        <v>7.351678125</v>
      </c>
      <c r="AS64" s="26">
        <f t="shared" si="90"/>
        <v>2.648584375</v>
      </c>
      <c r="AT64" s="23">
        <v>0</v>
      </c>
      <c r="AU64" s="15">
        <f t="shared" si="4"/>
        <v>9.828110426885447</v>
      </c>
      <c r="AV64" s="26">
        <f t="shared" si="91"/>
        <v>2.6956688940042155</v>
      </c>
      <c r="AW64" s="26">
        <f t="shared" si="91"/>
        <v>8.1787419140625</v>
      </c>
      <c r="AX64" s="26">
        <f t="shared" si="92"/>
        <v>2.9465501171875</v>
      </c>
      <c r="AY64" s="26"/>
      <c r="AZ64" s="15">
        <f t="shared" si="15"/>
        <v>10.874410808066717</v>
      </c>
      <c r="BA64" s="26">
        <f t="shared" si="93"/>
        <v>2.93431432814433</v>
      </c>
      <c r="BB64" s="26">
        <f t="shared" si="93"/>
        <v>9.098850379394532</v>
      </c>
      <c r="BC64" s="26">
        <f t="shared" si="94"/>
        <v>3.2780370053710937</v>
      </c>
      <c r="BD64" s="23">
        <v>0</v>
      </c>
      <c r="BE64" s="15">
        <f t="shared" si="6"/>
        <v>12.033164707538862</v>
      </c>
      <c r="BF64" s="26">
        <f t="shared" si="95"/>
        <v>3.1940868537319878</v>
      </c>
      <c r="BG64" s="26">
        <f t="shared" si="95"/>
        <v>10.122471047076417</v>
      </c>
      <c r="BH64" s="26">
        <f t="shared" si="96"/>
        <v>3.6468161684753415</v>
      </c>
      <c r="BI64" s="23">
        <v>0</v>
      </c>
      <c r="BJ64" s="15">
        <f t="shared" si="7"/>
        <v>13.316557900808405</v>
      </c>
      <c r="BK64" s="26">
        <f t="shared" si="97"/>
        <v>3.4768568354554596</v>
      </c>
      <c r="BL64" s="26">
        <f t="shared" si="97"/>
        <v>11.261249039872514</v>
      </c>
      <c r="BM64" s="26">
        <f t="shared" si="98"/>
        <v>4.057082987428817</v>
      </c>
      <c r="BN64" s="26">
        <f t="shared" si="99"/>
        <v>0</v>
      </c>
      <c r="BO64" s="15">
        <f t="shared" si="8"/>
        <v>14.738105875327973</v>
      </c>
      <c r="BP64" s="20">
        <v>0.08852920871362087</v>
      </c>
      <c r="BQ64" s="18">
        <v>0.1125</v>
      </c>
    </row>
    <row r="65" spans="1:69" s="19" customFormat="1" ht="15">
      <c r="A65" s="21">
        <v>2205</v>
      </c>
      <c r="B65" s="2" t="s">
        <v>174</v>
      </c>
      <c r="C65" s="1">
        <v>1.19</v>
      </c>
      <c r="D65" s="1">
        <f>3.86+E65</f>
        <v>4.09</v>
      </c>
      <c r="E65" s="1">
        <v>0.23</v>
      </c>
      <c r="F65" s="23">
        <v>0</v>
      </c>
      <c r="G65" s="15">
        <f t="shared" si="85"/>
        <v>5.279999999999999</v>
      </c>
      <c r="H65" s="1">
        <v>4.32</v>
      </c>
      <c r="I65" s="1">
        <v>4.4</v>
      </c>
      <c r="J65" s="26">
        <v>0</v>
      </c>
      <c r="K65" s="23">
        <v>0</v>
      </c>
      <c r="L65" s="15">
        <f t="shared" si="86"/>
        <v>8.72</v>
      </c>
      <c r="M65" s="26">
        <v>2.69</v>
      </c>
      <c r="N65" s="26">
        <v>4.4</v>
      </c>
      <c r="O65" s="26">
        <v>0</v>
      </c>
      <c r="P65" s="23">
        <v>0</v>
      </c>
      <c r="Q65" s="25">
        <f t="shared" si="19"/>
        <v>7.09</v>
      </c>
      <c r="R65" s="26">
        <v>5.22</v>
      </c>
      <c r="S65" s="26">
        <v>3.32</v>
      </c>
      <c r="T65" s="26">
        <v>0</v>
      </c>
      <c r="U65" s="23">
        <v>0</v>
      </c>
      <c r="V65" s="15">
        <f t="shared" si="9"/>
        <v>8.54</v>
      </c>
      <c r="W65" s="26">
        <v>3.87</v>
      </c>
      <c r="X65" s="26">
        <v>3.08</v>
      </c>
      <c r="Y65" s="26">
        <v>0</v>
      </c>
      <c r="Z65" s="23">
        <v>0</v>
      </c>
      <c r="AA65" s="15">
        <f t="shared" si="10"/>
        <v>6.95</v>
      </c>
      <c r="AB65" s="1">
        <v>3.49</v>
      </c>
      <c r="AC65" s="1">
        <v>3.25</v>
      </c>
      <c r="AD65" s="23">
        <v>0</v>
      </c>
      <c r="AE65" s="23">
        <v>0</v>
      </c>
      <c r="AF65" s="15">
        <f t="shared" si="11"/>
        <v>6.74</v>
      </c>
      <c r="AG65" s="1">
        <v>3.9</v>
      </c>
      <c r="AH65" s="1">
        <v>3.76</v>
      </c>
      <c r="AI65" s="26">
        <v>0</v>
      </c>
      <c r="AJ65" s="23">
        <v>0</v>
      </c>
      <c r="AK65" s="15">
        <f t="shared" si="2"/>
        <v>7.66</v>
      </c>
      <c r="AL65" s="26">
        <f t="shared" si="87"/>
        <v>4.418975265508514</v>
      </c>
      <c r="AM65" s="26">
        <f t="shared" si="87"/>
        <v>4.183</v>
      </c>
      <c r="AN65" s="26">
        <f t="shared" si="88"/>
        <v>0</v>
      </c>
      <c r="AO65" s="23">
        <v>0</v>
      </c>
      <c r="AP65" s="15">
        <f t="shared" si="3"/>
        <v>8.601975265508514</v>
      </c>
      <c r="AQ65" s="26">
        <f t="shared" si="89"/>
        <v>5.007010871070781</v>
      </c>
      <c r="AR65" s="26">
        <f t="shared" si="89"/>
        <v>4.6535874999999995</v>
      </c>
      <c r="AS65" s="26">
        <f t="shared" si="90"/>
        <v>0</v>
      </c>
      <c r="AT65" s="23">
        <v>0</v>
      </c>
      <c r="AU65" s="15">
        <f t="shared" si="4"/>
        <v>9.66059837107078</v>
      </c>
      <c r="AV65" s="26">
        <f t="shared" si="91"/>
        <v>5.673296716254878</v>
      </c>
      <c r="AW65" s="26">
        <f t="shared" si="91"/>
        <v>5.17711609375</v>
      </c>
      <c r="AX65" s="26">
        <f t="shared" si="92"/>
        <v>0</v>
      </c>
      <c r="AY65" s="26"/>
      <c r="AZ65" s="15">
        <f t="shared" si="15"/>
        <v>10.850412810004878</v>
      </c>
      <c r="BA65" s="26">
        <f t="shared" si="93"/>
        <v>6.428245605902816</v>
      </c>
      <c r="BB65" s="26">
        <f t="shared" si="93"/>
        <v>5.759541654296875</v>
      </c>
      <c r="BC65" s="26">
        <f t="shared" si="94"/>
        <v>0</v>
      </c>
      <c r="BD65" s="23">
        <v>0</v>
      </c>
      <c r="BE65" s="15">
        <f t="shared" si="6"/>
        <v>12.187787260199691</v>
      </c>
      <c r="BF65" s="26">
        <f t="shared" si="95"/>
        <v>7.283655982845728</v>
      </c>
      <c r="BG65" s="26">
        <f t="shared" si="95"/>
        <v>6.407490090405274</v>
      </c>
      <c r="BH65" s="26">
        <f t="shared" si="96"/>
        <v>0</v>
      </c>
      <c r="BI65" s="23">
        <v>0</v>
      </c>
      <c r="BJ65" s="15">
        <f t="shared" si="7"/>
        <v>13.691146073251002</v>
      </c>
      <c r="BK65" s="26">
        <f t="shared" si="97"/>
        <v>8.252896315555995</v>
      </c>
      <c r="BL65" s="26">
        <f t="shared" si="97"/>
        <v>7.128332725575867</v>
      </c>
      <c r="BM65" s="26">
        <f t="shared" si="98"/>
        <v>0</v>
      </c>
      <c r="BN65" s="26">
        <f t="shared" si="99"/>
        <v>0</v>
      </c>
      <c r="BO65" s="15">
        <f t="shared" si="8"/>
        <v>15.381229041131864</v>
      </c>
      <c r="BP65" s="20">
        <v>0.13307058089961912</v>
      </c>
      <c r="BQ65" s="18">
        <v>0.1125</v>
      </c>
    </row>
    <row r="66" spans="1:69" s="19" customFormat="1" ht="30">
      <c r="A66" s="21">
        <v>2210</v>
      </c>
      <c r="B66" s="2" t="s">
        <v>242</v>
      </c>
      <c r="C66" s="1">
        <v>37.36</v>
      </c>
      <c r="D66" s="1">
        <f>27.22+E66</f>
        <v>27.59</v>
      </c>
      <c r="E66" s="1">
        <v>0.37</v>
      </c>
      <c r="F66" s="23">
        <v>0</v>
      </c>
      <c r="G66" s="15">
        <f t="shared" si="85"/>
        <v>64.95</v>
      </c>
      <c r="H66" s="1">
        <v>45.57</v>
      </c>
      <c r="I66" s="1">
        <f>29.2+J66</f>
        <v>29.58</v>
      </c>
      <c r="J66" s="1">
        <v>0.38</v>
      </c>
      <c r="K66" s="23">
        <v>1.17</v>
      </c>
      <c r="L66" s="15">
        <f t="shared" si="86"/>
        <v>75.15</v>
      </c>
      <c r="M66" s="26">
        <v>74.68</v>
      </c>
      <c r="N66" s="26">
        <f>32.88+O66</f>
        <v>33.63</v>
      </c>
      <c r="O66" s="26">
        <v>0.75</v>
      </c>
      <c r="P66" s="23">
        <v>0</v>
      </c>
      <c r="Q66" s="25">
        <f t="shared" si="19"/>
        <v>108.31</v>
      </c>
      <c r="R66" s="26">
        <v>67.48</v>
      </c>
      <c r="S66" s="26">
        <f>36.32+T66</f>
        <v>36.67</v>
      </c>
      <c r="T66" s="26">
        <v>0.35</v>
      </c>
      <c r="U66" s="23">
        <v>0.28</v>
      </c>
      <c r="V66" s="15">
        <f t="shared" si="9"/>
        <v>104.15</v>
      </c>
      <c r="W66" s="26">
        <v>73.91</v>
      </c>
      <c r="X66" s="26">
        <f>39.71+Y66</f>
        <v>40.06</v>
      </c>
      <c r="Y66" s="26">
        <v>0.35</v>
      </c>
      <c r="Z66" s="23">
        <v>0.16</v>
      </c>
      <c r="AA66" s="15">
        <f t="shared" si="10"/>
        <v>113.97</v>
      </c>
      <c r="AB66" s="1">
        <v>84.03</v>
      </c>
      <c r="AC66" s="1">
        <v>42.01</v>
      </c>
      <c r="AD66" s="23">
        <v>0</v>
      </c>
      <c r="AE66" s="23">
        <v>0.11</v>
      </c>
      <c r="AF66" s="15">
        <f t="shared" si="11"/>
        <v>126.03999999999999</v>
      </c>
      <c r="AG66" s="1">
        <v>87.26</v>
      </c>
      <c r="AH66" s="1">
        <v>47.68</v>
      </c>
      <c r="AI66" s="1">
        <v>1.1</v>
      </c>
      <c r="AJ66" s="23">
        <v>0</v>
      </c>
      <c r="AK66" s="15">
        <f t="shared" si="2"/>
        <v>134.94</v>
      </c>
      <c r="AL66" s="26">
        <f t="shared" si="87"/>
        <v>99.79511914744046</v>
      </c>
      <c r="AM66" s="26">
        <f t="shared" si="87"/>
        <v>53.044</v>
      </c>
      <c r="AN66" s="26">
        <f t="shared" si="88"/>
        <v>1.2237500000000001</v>
      </c>
      <c r="AO66" s="23">
        <v>0</v>
      </c>
      <c r="AP66" s="15">
        <f t="shared" si="3"/>
        <v>152.83911914744044</v>
      </c>
      <c r="AQ66" s="26">
        <f t="shared" si="89"/>
        <v>114.13093978514597</v>
      </c>
      <c r="AR66" s="26">
        <f t="shared" si="89"/>
        <v>59.011449999999996</v>
      </c>
      <c r="AS66" s="26">
        <f t="shared" si="90"/>
        <v>1.3614218750000002</v>
      </c>
      <c r="AT66" s="23">
        <v>0</v>
      </c>
      <c r="AU66" s="15">
        <f t="shared" si="4"/>
        <v>173.14238978514595</v>
      </c>
      <c r="AV66" s="26">
        <f t="shared" si="91"/>
        <v>130.5261372251661</v>
      </c>
      <c r="AW66" s="26">
        <f t="shared" si="91"/>
        <v>65.650238125</v>
      </c>
      <c r="AX66" s="26">
        <f t="shared" si="92"/>
        <v>1.5145818359375003</v>
      </c>
      <c r="AY66" s="26"/>
      <c r="AZ66" s="15">
        <f t="shared" si="15"/>
        <v>196.1763753501661</v>
      </c>
      <c r="BA66" s="26">
        <f t="shared" si="93"/>
        <v>149.27654614073592</v>
      </c>
      <c r="BB66" s="26">
        <f t="shared" si="93"/>
        <v>73.0358899140625</v>
      </c>
      <c r="BC66" s="26">
        <f t="shared" si="94"/>
        <v>1.684972292480469</v>
      </c>
      <c r="BD66" s="23">
        <v>0</v>
      </c>
      <c r="BE66" s="15">
        <f t="shared" si="6"/>
        <v>222.3124360547984</v>
      </c>
      <c r="BF66" s="26">
        <f t="shared" si="95"/>
        <v>170.72049860225917</v>
      </c>
      <c r="BG66" s="26">
        <f t="shared" si="95"/>
        <v>81.25242752939452</v>
      </c>
      <c r="BH66" s="26">
        <f t="shared" si="96"/>
        <v>1.8745316753845218</v>
      </c>
      <c r="BI66" s="23">
        <v>0</v>
      </c>
      <c r="BJ66" s="15">
        <f t="shared" si="7"/>
        <v>251.9729261316537</v>
      </c>
      <c r="BK66" s="26">
        <f t="shared" si="97"/>
        <v>195.24492893562797</v>
      </c>
      <c r="BL66" s="26">
        <f t="shared" si="97"/>
        <v>90.3933256264514</v>
      </c>
      <c r="BM66" s="26">
        <f t="shared" si="98"/>
        <v>2.0854164888652806</v>
      </c>
      <c r="BN66" s="26">
        <f t="shared" si="99"/>
        <v>0</v>
      </c>
      <c r="BO66" s="15">
        <f t="shared" si="8"/>
        <v>285.6382545620794</v>
      </c>
      <c r="BP66" s="20">
        <v>0.14365252289067684</v>
      </c>
      <c r="BQ66" s="18">
        <v>0.1125</v>
      </c>
    </row>
    <row r="67" spans="1:69" s="19" customFormat="1" ht="30">
      <c r="A67" s="21" t="s">
        <v>58</v>
      </c>
      <c r="B67" s="2" t="s">
        <v>59</v>
      </c>
      <c r="C67" s="1">
        <v>27.2</v>
      </c>
      <c r="D67" s="1">
        <f>17.55+E67</f>
        <v>17.6</v>
      </c>
      <c r="E67" s="1">
        <v>0.05</v>
      </c>
      <c r="F67" s="23">
        <v>0</v>
      </c>
      <c r="G67" s="15">
        <f t="shared" si="85"/>
        <v>44.8</v>
      </c>
      <c r="H67" s="1">
        <v>32.69</v>
      </c>
      <c r="I67" s="1">
        <v>16.35</v>
      </c>
      <c r="J67" s="26">
        <v>0</v>
      </c>
      <c r="K67" s="23">
        <v>0</v>
      </c>
      <c r="L67" s="15">
        <f t="shared" si="86"/>
        <v>49.04</v>
      </c>
      <c r="M67" s="26">
        <v>53.78</v>
      </c>
      <c r="N67" s="26">
        <f>19.73+O67</f>
        <v>20.2</v>
      </c>
      <c r="O67" s="26">
        <v>0.47</v>
      </c>
      <c r="P67" s="23">
        <v>0</v>
      </c>
      <c r="Q67" s="25">
        <f t="shared" si="19"/>
        <v>73.98</v>
      </c>
      <c r="R67" s="26">
        <v>48.6</v>
      </c>
      <c r="S67" s="26">
        <v>21.85</v>
      </c>
      <c r="T67" s="26">
        <v>0</v>
      </c>
      <c r="U67" s="23">
        <v>0</v>
      </c>
      <c r="V67" s="15">
        <f t="shared" si="9"/>
        <v>70.45</v>
      </c>
      <c r="W67" s="26">
        <v>56.07</v>
      </c>
      <c r="X67" s="26">
        <v>26.25</v>
      </c>
      <c r="Y67" s="26">
        <v>0</v>
      </c>
      <c r="Z67" s="23">
        <v>0</v>
      </c>
      <c r="AA67" s="15">
        <f t="shared" si="10"/>
        <v>82.32</v>
      </c>
      <c r="AB67" s="1">
        <f>62.85+0.02</f>
        <v>62.870000000000005</v>
      </c>
      <c r="AC67" s="1">
        <f>30.12</f>
        <v>30.12</v>
      </c>
      <c r="AD67" s="23">
        <v>0</v>
      </c>
      <c r="AE67" s="23">
        <v>0</v>
      </c>
      <c r="AF67" s="15">
        <f t="shared" si="11"/>
        <v>92.99000000000001</v>
      </c>
      <c r="AG67" s="1">
        <v>63.33</v>
      </c>
      <c r="AH67" s="1">
        <v>27.13</v>
      </c>
      <c r="AI67" s="26">
        <v>0</v>
      </c>
      <c r="AJ67" s="23">
        <v>0</v>
      </c>
      <c r="AK67" s="15">
        <f t="shared" si="2"/>
        <v>90.46</v>
      </c>
      <c r="AL67" s="26">
        <f t="shared" si="87"/>
        <v>67.95309</v>
      </c>
      <c r="AM67" s="26">
        <f t="shared" si="87"/>
        <v>30.182125</v>
      </c>
      <c r="AN67" s="26">
        <f t="shared" si="88"/>
        <v>0</v>
      </c>
      <c r="AO67" s="23">
        <v>0</v>
      </c>
      <c r="AP67" s="15">
        <f t="shared" si="3"/>
        <v>98.135215</v>
      </c>
      <c r="AQ67" s="26">
        <f t="shared" si="89"/>
        <v>72.91366557</v>
      </c>
      <c r="AR67" s="26">
        <f t="shared" si="89"/>
        <v>33.5776140625</v>
      </c>
      <c r="AS67" s="26">
        <f t="shared" si="90"/>
        <v>0</v>
      </c>
      <c r="AT67" s="23">
        <v>0</v>
      </c>
      <c r="AU67" s="15">
        <f t="shared" si="4"/>
        <v>106.49127963250001</v>
      </c>
      <c r="AV67" s="26">
        <f t="shared" si="91"/>
        <v>78.23636315661001</v>
      </c>
      <c r="AW67" s="26">
        <f t="shared" si="91"/>
        <v>37.35509564453125</v>
      </c>
      <c r="AX67" s="26">
        <f t="shared" si="92"/>
        <v>0</v>
      </c>
      <c r="AY67" s="26"/>
      <c r="AZ67" s="15">
        <f t="shared" si="15"/>
        <v>115.59145880114126</v>
      </c>
      <c r="BA67" s="26">
        <f t="shared" si="93"/>
        <v>83.94761766704254</v>
      </c>
      <c r="BB67" s="26">
        <f t="shared" si="93"/>
        <v>41.55754390454101</v>
      </c>
      <c r="BC67" s="26">
        <f t="shared" si="94"/>
        <v>0</v>
      </c>
      <c r="BD67" s="23">
        <v>0</v>
      </c>
      <c r="BE67" s="15">
        <f t="shared" si="6"/>
        <v>125.50516157158356</v>
      </c>
      <c r="BF67" s="26">
        <f t="shared" si="95"/>
        <v>90.07579375673664</v>
      </c>
      <c r="BG67" s="26">
        <f t="shared" si="95"/>
        <v>46.23276759380188</v>
      </c>
      <c r="BH67" s="26">
        <f t="shared" si="96"/>
        <v>0</v>
      </c>
      <c r="BI67" s="23">
        <v>0</v>
      </c>
      <c r="BJ67" s="15">
        <f t="shared" si="7"/>
        <v>136.30856135053853</v>
      </c>
      <c r="BK67" s="26">
        <f t="shared" si="97"/>
        <v>96.65132670097842</v>
      </c>
      <c r="BL67" s="26">
        <f t="shared" si="97"/>
        <v>51.433953948104595</v>
      </c>
      <c r="BM67" s="26">
        <f t="shared" si="98"/>
        <v>0</v>
      </c>
      <c r="BN67" s="26">
        <f t="shared" si="99"/>
        <v>0</v>
      </c>
      <c r="BO67" s="15">
        <f t="shared" si="8"/>
        <v>148.08528064908302</v>
      </c>
      <c r="BP67" s="20">
        <v>0.073</v>
      </c>
      <c r="BQ67" s="18">
        <v>0.1125</v>
      </c>
    </row>
    <row r="68" spans="1:69" s="19" customFormat="1" ht="30">
      <c r="A68" s="21" t="s">
        <v>60</v>
      </c>
      <c r="B68" s="2" t="s">
        <v>61</v>
      </c>
      <c r="C68" s="1">
        <v>9.38</v>
      </c>
      <c r="D68" s="1">
        <v>6.03</v>
      </c>
      <c r="E68" s="23">
        <v>0</v>
      </c>
      <c r="F68" s="23">
        <v>0</v>
      </c>
      <c r="G68" s="15">
        <f t="shared" si="85"/>
        <v>15.41</v>
      </c>
      <c r="H68" s="1">
        <v>11.57</v>
      </c>
      <c r="I68" s="1">
        <v>7.67</v>
      </c>
      <c r="J68" s="26">
        <v>0</v>
      </c>
      <c r="K68" s="23">
        <v>0</v>
      </c>
      <c r="L68" s="15">
        <f t="shared" si="86"/>
        <v>19.240000000000002</v>
      </c>
      <c r="M68" s="26">
        <f>19.46</f>
        <v>19.46</v>
      </c>
      <c r="N68" s="26">
        <v>5.92</v>
      </c>
      <c r="O68" s="26">
        <v>0</v>
      </c>
      <c r="P68" s="23">
        <v>0</v>
      </c>
      <c r="Q68" s="25">
        <f t="shared" si="19"/>
        <v>25.380000000000003</v>
      </c>
      <c r="R68" s="26">
        <v>17.87</v>
      </c>
      <c r="S68" s="26">
        <v>7.61</v>
      </c>
      <c r="T68" s="26">
        <v>0</v>
      </c>
      <c r="U68" s="23">
        <v>0</v>
      </c>
      <c r="V68" s="15">
        <f t="shared" si="9"/>
        <v>25.48</v>
      </c>
      <c r="W68" s="26">
        <v>16.85</v>
      </c>
      <c r="X68" s="26">
        <v>7.54</v>
      </c>
      <c r="Y68" s="26">
        <v>0</v>
      </c>
      <c r="Z68" s="23">
        <v>0</v>
      </c>
      <c r="AA68" s="15">
        <f t="shared" si="10"/>
        <v>24.39</v>
      </c>
      <c r="AB68" s="1">
        <v>19.87</v>
      </c>
      <c r="AC68" s="1">
        <v>7.56</v>
      </c>
      <c r="AD68" s="23">
        <v>0</v>
      </c>
      <c r="AE68" s="23">
        <v>0</v>
      </c>
      <c r="AF68" s="15">
        <f t="shared" si="11"/>
        <v>27.43</v>
      </c>
      <c r="AG68" s="1">
        <v>22.37</v>
      </c>
      <c r="AH68" s="1">
        <v>13.06</v>
      </c>
      <c r="AI68" s="26">
        <v>0</v>
      </c>
      <c r="AJ68" s="23">
        <v>0</v>
      </c>
      <c r="AK68" s="15">
        <f t="shared" si="2"/>
        <v>35.43</v>
      </c>
      <c r="AL68" s="26">
        <f t="shared" si="87"/>
        <v>24.00301</v>
      </c>
      <c r="AM68" s="26">
        <f t="shared" si="87"/>
        <v>14.529250000000001</v>
      </c>
      <c r="AN68" s="26">
        <f t="shared" si="88"/>
        <v>0</v>
      </c>
      <c r="AO68" s="23">
        <v>0</v>
      </c>
      <c r="AP68" s="15">
        <f t="shared" si="3"/>
        <v>38.53226</v>
      </c>
      <c r="AQ68" s="26">
        <f t="shared" si="89"/>
        <v>25.75522973</v>
      </c>
      <c r="AR68" s="26">
        <f t="shared" si="89"/>
        <v>16.163790625</v>
      </c>
      <c r="AS68" s="26">
        <f t="shared" si="90"/>
        <v>0</v>
      </c>
      <c r="AT68" s="23">
        <v>0</v>
      </c>
      <c r="AU68" s="15">
        <f t="shared" si="4"/>
        <v>41.919020355</v>
      </c>
      <c r="AV68" s="26">
        <f t="shared" si="91"/>
        <v>27.63536150029</v>
      </c>
      <c r="AW68" s="26">
        <f t="shared" si="91"/>
        <v>17.9822170703125</v>
      </c>
      <c r="AX68" s="26">
        <f t="shared" si="92"/>
        <v>0</v>
      </c>
      <c r="AY68" s="26"/>
      <c r="AZ68" s="15">
        <f t="shared" si="15"/>
        <v>45.617578570602504</v>
      </c>
      <c r="BA68" s="26">
        <f t="shared" si="93"/>
        <v>29.65274288981117</v>
      </c>
      <c r="BB68" s="26">
        <f t="shared" si="93"/>
        <v>20.005216490722656</v>
      </c>
      <c r="BC68" s="26">
        <f t="shared" si="94"/>
        <v>0</v>
      </c>
      <c r="BD68" s="23">
        <v>0</v>
      </c>
      <c r="BE68" s="15">
        <f t="shared" si="6"/>
        <v>49.657959380533825</v>
      </c>
      <c r="BF68" s="26">
        <f t="shared" si="95"/>
        <v>31.817393120767385</v>
      </c>
      <c r="BG68" s="26">
        <f t="shared" si="95"/>
        <v>22.255803345928953</v>
      </c>
      <c r="BH68" s="26">
        <f t="shared" si="96"/>
        <v>0</v>
      </c>
      <c r="BI68" s="23">
        <v>0</v>
      </c>
      <c r="BJ68" s="15">
        <f t="shared" si="7"/>
        <v>54.07319646669634</v>
      </c>
      <c r="BK68" s="26">
        <f t="shared" si="97"/>
        <v>34.1400628185834</v>
      </c>
      <c r="BL68" s="26">
        <f t="shared" si="97"/>
        <v>24.75958122234596</v>
      </c>
      <c r="BM68" s="26">
        <f t="shared" si="98"/>
        <v>0</v>
      </c>
      <c r="BN68" s="26">
        <f t="shared" si="99"/>
        <v>0</v>
      </c>
      <c r="BO68" s="15">
        <f t="shared" si="8"/>
        <v>58.89964404092936</v>
      </c>
      <c r="BP68" s="20">
        <v>0.073</v>
      </c>
      <c r="BQ68" s="18">
        <v>0.1125</v>
      </c>
    </row>
    <row r="69" spans="1:69" s="19" customFormat="1" ht="15">
      <c r="A69" s="21">
        <v>2211</v>
      </c>
      <c r="B69" s="2" t="s">
        <v>175</v>
      </c>
      <c r="C69" s="1">
        <v>0</v>
      </c>
      <c r="D69" s="1">
        <f>0+E69</f>
        <v>6.06</v>
      </c>
      <c r="E69" s="1">
        <v>6.06</v>
      </c>
      <c r="F69" s="23">
        <v>0</v>
      </c>
      <c r="G69" s="15">
        <f t="shared" si="85"/>
        <v>6.06</v>
      </c>
      <c r="H69" s="26">
        <v>0</v>
      </c>
      <c r="I69" s="26">
        <f>0+J69</f>
        <v>7.12</v>
      </c>
      <c r="J69" s="1">
        <v>7.12</v>
      </c>
      <c r="K69" s="23">
        <v>0</v>
      </c>
      <c r="L69" s="15">
        <f t="shared" si="86"/>
        <v>7.12</v>
      </c>
      <c r="M69" s="26">
        <v>0</v>
      </c>
      <c r="N69" s="26">
        <f>0+O69</f>
        <v>12.79</v>
      </c>
      <c r="O69" s="26">
        <v>12.79</v>
      </c>
      <c r="P69" s="23">
        <v>0</v>
      </c>
      <c r="Q69" s="25">
        <f t="shared" si="19"/>
        <v>12.79</v>
      </c>
      <c r="R69" s="26">
        <v>0</v>
      </c>
      <c r="S69" s="26">
        <f>0+T69</f>
        <v>14.4</v>
      </c>
      <c r="T69" s="26">
        <v>14.4</v>
      </c>
      <c r="U69" s="23">
        <v>0</v>
      </c>
      <c r="V69" s="15">
        <f t="shared" si="9"/>
        <v>14.4</v>
      </c>
      <c r="W69" s="26">
        <v>0</v>
      </c>
      <c r="X69" s="26">
        <f>0+Y69</f>
        <v>13.25</v>
      </c>
      <c r="Y69" s="26">
        <v>13.25</v>
      </c>
      <c r="Z69" s="23">
        <v>0</v>
      </c>
      <c r="AA69" s="15">
        <f t="shared" si="10"/>
        <v>13.25</v>
      </c>
      <c r="AB69" s="23">
        <v>0</v>
      </c>
      <c r="AC69" s="1">
        <v>17.14</v>
      </c>
      <c r="AD69" s="1">
        <v>17.14</v>
      </c>
      <c r="AE69" s="23">
        <v>0</v>
      </c>
      <c r="AF69" s="15">
        <f t="shared" si="11"/>
        <v>17.14</v>
      </c>
      <c r="AG69" s="1"/>
      <c r="AH69" s="1">
        <v>14.5</v>
      </c>
      <c r="AI69" s="1">
        <v>14.5</v>
      </c>
      <c r="AJ69" s="23">
        <v>0</v>
      </c>
      <c r="AK69" s="15">
        <f aca="true" t="shared" si="106" ref="AK69:AK132">+AG69+AH69</f>
        <v>14.5</v>
      </c>
      <c r="AL69" s="26">
        <f t="shared" si="87"/>
        <v>0</v>
      </c>
      <c r="AM69" s="26">
        <f t="shared" si="87"/>
        <v>16.13125</v>
      </c>
      <c r="AN69" s="26">
        <f t="shared" si="88"/>
        <v>16.13125</v>
      </c>
      <c r="AO69" s="23">
        <v>0</v>
      </c>
      <c r="AP69" s="15">
        <f aca="true" t="shared" si="107" ref="AP69:AP132">+AL69+AM69</f>
        <v>16.13125</v>
      </c>
      <c r="AQ69" s="26">
        <f t="shared" si="89"/>
        <v>0</v>
      </c>
      <c r="AR69" s="26">
        <f t="shared" si="89"/>
        <v>17.946015625</v>
      </c>
      <c r="AS69" s="26">
        <f t="shared" si="90"/>
        <v>17.946015625</v>
      </c>
      <c r="AT69" s="23">
        <v>0</v>
      </c>
      <c r="AU69" s="15">
        <f aca="true" t="shared" si="108" ref="AU69:AU132">+AQ69+AR69</f>
        <v>17.946015625</v>
      </c>
      <c r="AV69" s="26">
        <f t="shared" si="91"/>
        <v>0</v>
      </c>
      <c r="AW69" s="26">
        <f t="shared" si="91"/>
        <v>19.964942382812502</v>
      </c>
      <c r="AX69" s="26">
        <f t="shared" si="92"/>
        <v>19.964942382812502</v>
      </c>
      <c r="AY69" s="26"/>
      <c r="AZ69" s="15">
        <f t="shared" si="15"/>
        <v>19.964942382812502</v>
      </c>
      <c r="BA69" s="26">
        <f t="shared" si="93"/>
        <v>0</v>
      </c>
      <c r="BB69" s="26">
        <f t="shared" si="93"/>
        <v>22.210998400878907</v>
      </c>
      <c r="BC69" s="26">
        <f t="shared" si="94"/>
        <v>22.210998400878907</v>
      </c>
      <c r="BD69" s="23">
        <v>0</v>
      </c>
      <c r="BE69" s="15">
        <f aca="true" t="shared" si="109" ref="BE69:BE132">+BA69+BB69</f>
        <v>22.210998400878907</v>
      </c>
      <c r="BF69" s="26">
        <f t="shared" si="95"/>
        <v>0</v>
      </c>
      <c r="BG69" s="26">
        <f t="shared" si="95"/>
        <v>24.709735720977783</v>
      </c>
      <c r="BH69" s="26">
        <f t="shared" si="96"/>
        <v>24.709735720977783</v>
      </c>
      <c r="BI69" s="23">
        <v>0</v>
      </c>
      <c r="BJ69" s="15">
        <f aca="true" t="shared" si="110" ref="BJ69:BJ132">+BF69+BG69</f>
        <v>24.709735720977783</v>
      </c>
      <c r="BK69" s="26">
        <f t="shared" si="97"/>
        <v>0</v>
      </c>
      <c r="BL69" s="26">
        <f t="shared" si="97"/>
        <v>27.489580989587783</v>
      </c>
      <c r="BM69" s="26">
        <f t="shared" si="98"/>
        <v>27.489580989587783</v>
      </c>
      <c r="BN69" s="26">
        <f t="shared" si="99"/>
        <v>0</v>
      </c>
      <c r="BO69" s="15">
        <f aca="true" t="shared" si="111" ref="BO69:BO132">+BK69+BL69</f>
        <v>27.489580989587783</v>
      </c>
      <c r="BP69" s="20">
        <v>0.073</v>
      </c>
      <c r="BQ69" s="18">
        <v>0.1125</v>
      </c>
    </row>
    <row r="70" spans="1:69" s="19" customFormat="1" ht="30">
      <c r="A70" s="21">
        <v>2215</v>
      </c>
      <c r="B70" s="2" t="s">
        <v>243</v>
      </c>
      <c r="C70" s="31">
        <v>5.68</v>
      </c>
      <c r="D70" s="31">
        <v>12.07</v>
      </c>
      <c r="E70" s="40">
        <v>0</v>
      </c>
      <c r="F70" s="23">
        <v>0</v>
      </c>
      <c r="G70" s="15">
        <f t="shared" si="85"/>
        <v>17.75</v>
      </c>
      <c r="H70" s="1">
        <v>6.37</v>
      </c>
      <c r="I70" s="1">
        <f>16.74+J70</f>
        <v>17.25</v>
      </c>
      <c r="J70" s="1">
        <v>0.51</v>
      </c>
      <c r="K70" s="23">
        <v>0</v>
      </c>
      <c r="L70" s="15">
        <f t="shared" si="86"/>
        <v>23.62</v>
      </c>
      <c r="M70" s="26">
        <v>9.91</v>
      </c>
      <c r="N70" s="26">
        <v>11.65</v>
      </c>
      <c r="O70" s="26">
        <v>0</v>
      </c>
      <c r="P70" s="23">
        <v>0</v>
      </c>
      <c r="Q70" s="25">
        <f t="shared" si="19"/>
        <v>21.560000000000002</v>
      </c>
      <c r="R70" s="26">
        <v>10.2</v>
      </c>
      <c r="S70" s="26">
        <v>14.63</v>
      </c>
      <c r="T70" s="26">
        <v>0</v>
      </c>
      <c r="U70" s="23">
        <v>0</v>
      </c>
      <c r="V70" s="15">
        <f aca="true" t="shared" si="112" ref="V70:V133">+R70+S70</f>
        <v>24.83</v>
      </c>
      <c r="W70" s="26">
        <v>9.5</v>
      </c>
      <c r="X70" s="26">
        <v>11.16</v>
      </c>
      <c r="Y70" s="26">
        <v>0</v>
      </c>
      <c r="Z70" s="23">
        <v>0</v>
      </c>
      <c r="AA70" s="15">
        <f aca="true" t="shared" si="113" ref="AA70:AA133">+W70+X70</f>
        <v>20.66</v>
      </c>
      <c r="AB70" s="1">
        <v>10.56</v>
      </c>
      <c r="AC70" s="1">
        <v>6.67</v>
      </c>
      <c r="AD70" s="26">
        <v>0</v>
      </c>
      <c r="AE70" s="23">
        <v>0.72</v>
      </c>
      <c r="AF70" s="15">
        <f aca="true" t="shared" si="114" ref="AF70:AF133">+AB70+AC70</f>
        <v>17.23</v>
      </c>
      <c r="AG70" s="1">
        <v>12.91</v>
      </c>
      <c r="AH70" s="1">
        <v>9.63</v>
      </c>
      <c r="AI70" s="26">
        <v>0</v>
      </c>
      <c r="AJ70" s="23">
        <v>1</v>
      </c>
      <c r="AK70" s="15">
        <f t="shared" si="106"/>
        <v>22.54</v>
      </c>
      <c r="AL70" s="26">
        <f t="shared" si="87"/>
        <v>13.85243</v>
      </c>
      <c r="AM70" s="26">
        <f t="shared" si="87"/>
        <v>10.713375000000001</v>
      </c>
      <c r="AN70" s="26">
        <f t="shared" si="88"/>
        <v>0</v>
      </c>
      <c r="AO70" s="23">
        <v>0</v>
      </c>
      <c r="AP70" s="15">
        <f t="shared" si="107"/>
        <v>24.565805</v>
      </c>
      <c r="AQ70" s="26">
        <f t="shared" si="89"/>
        <v>14.86365739</v>
      </c>
      <c r="AR70" s="26">
        <f t="shared" si="89"/>
        <v>11.918629687500001</v>
      </c>
      <c r="AS70" s="26">
        <f t="shared" si="90"/>
        <v>0</v>
      </c>
      <c r="AT70" s="23">
        <v>0</v>
      </c>
      <c r="AU70" s="15">
        <f t="shared" si="108"/>
        <v>26.7822870775</v>
      </c>
      <c r="AV70" s="26">
        <f t="shared" si="91"/>
        <v>15.94870437947</v>
      </c>
      <c r="AW70" s="26">
        <f t="shared" si="91"/>
        <v>13.259475527343751</v>
      </c>
      <c r="AX70" s="26">
        <f t="shared" si="92"/>
        <v>0</v>
      </c>
      <c r="AY70" s="26"/>
      <c r="AZ70" s="15">
        <f aca="true" t="shared" si="115" ref="AZ70:AZ133">+AV70+AW70</f>
        <v>29.20817990681375</v>
      </c>
      <c r="BA70" s="26">
        <f t="shared" si="93"/>
        <v>17.11295979917131</v>
      </c>
      <c r="BB70" s="26">
        <f t="shared" si="93"/>
        <v>14.751166524169923</v>
      </c>
      <c r="BC70" s="26">
        <f t="shared" si="94"/>
        <v>0</v>
      </c>
      <c r="BD70" s="23">
        <v>0</v>
      </c>
      <c r="BE70" s="15">
        <f t="shared" si="109"/>
        <v>31.86412632334123</v>
      </c>
      <c r="BF70" s="26">
        <f t="shared" si="95"/>
        <v>18.362205864510816</v>
      </c>
      <c r="BG70" s="26">
        <f t="shared" si="95"/>
        <v>16.41067275813904</v>
      </c>
      <c r="BH70" s="26">
        <f t="shared" si="96"/>
        <v>0</v>
      </c>
      <c r="BI70" s="23">
        <v>0</v>
      </c>
      <c r="BJ70" s="15">
        <f t="shared" si="110"/>
        <v>34.772878622649856</v>
      </c>
      <c r="BK70" s="26">
        <f t="shared" si="97"/>
        <v>19.702646892620105</v>
      </c>
      <c r="BL70" s="26">
        <f t="shared" si="97"/>
        <v>18.256873443429683</v>
      </c>
      <c r="BM70" s="26">
        <f t="shared" si="98"/>
        <v>0</v>
      </c>
      <c r="BN70" s="26">
        <f t="shared" si="99"/>
        <v>0</v>
      </c>
      <c r="BO70" s="15">
        <f t="shared" si="111"/>
        <v>37.95952033604979</v>
      </c>
      <c r="BP70" s="20">
        <v>0.073</v>
      </c>
      <c r="BQ70" s="18">
        <v>0.1125</v>
      </c>
    </row>
    <row r="71" spans="1:69" s="19" customFormat="1" ht="15">
      <c r="A71" s="21" t="s">
        <v>49</v>
      </c>
      <c r="B71" s="2" t="s">
        <v>62</v>
      </c>
      <c r="C71" s="1">
        <v>4.94</v>
      </c>
      <c r="D71" s="1">
        <v>11.59</v>
      </c>
      <c r="E71" s="23">
        <v>0</v>
      </c>
      <c r="F71" s="23">
        <v>0</v>
      </c>
      <c r="G71" s="15">
        <f t="shared" si="85"/>
        <v>16.53</v>
      </c>
      <c r="H71" s="1">
        <v>5.54</v>
      </c>
      <c r="I71" s="1">
        <v>15.36</v>
      </c>
      <c r="J71" s="26">
        <v>0</v>
      </c>
      <c r="K71" s="23">
        <v>0</v>
      </c>
      <c r="L71" s="15">
        <f t="shared" si="86"/>
        <v>20.9</v>
      </c>
      <c r="M71" s="26">
        <v>9.04</v>
      </c>
      <c r="N71" s="26">
        <v>11.18</v>
      </c>
      <c r="O71" s="26">
        <v>0</v>
      </c>
      <c r="P71" s="23">
        <v>0</v>
      </c>
      <c r="Q71" s="25">
        <f aca="true" t="shared" si="116" ref="Q71:Q134">+M71+N71</f>
        <v>20.22</v>
      </c>
      <c r="R71" s="26">
        <v>9.51</v>
      </c>
      <c r="S71" s="26">
        <v>14.63</v>
      </c>
      <c r="T71" s="26">
        <v>0</v>
      </c>
      <c r="U71" s="23">
        <v>0</v>
      </c>
      <c r="V71" s="15">
        <f t="shared" si="112"/>
        <v>24.14</v>
      </c>
      <c r="W71" s="26">
        <v>8.9</v>
      </c>
      <c r="X71" s="26">
        <v>11.16</v>
      </c>
      <c r="Y71" s="26">
        <v>0</v>
      </c>
      <c r="Z71" s="23">
        <v>0</v>
      </c>
      <c r="AA71" s="15">
        <f t="shared" si="113"/>
        <v>20.060000000000002</v>
      </c>
      <c r="AB71" s="23">
        <v>6.94</v>
      </c>
      <c r="AC71" s="23">
        <v>4.96</v>
      </c>
      <c r="AD71" s="23">
        <v>0</v>
      </c>
      <c r="AE71" s="23">
        <v>0</v>
      </c>
      <c r="AF71" s="15">
        <f t="shared" si="114"/>
        <v>11.9</v>
      </c>
      <c r="AG71" s="23">
        <v>8.14</v>
      </c>
      <c r="AH71" s="23">
        <v>6.33</v>
      </c>
      <c r="AI71" s="23">
        <v>0</v>
      </c>
      <c r="AJ71" s="23">
        <v>0</v>
      </c>
      <c r="AK71" s="15">
        <f t="shared" si="106"/>
        <v>14.47</v>
      </c>
      <c r="AL71" s="26">
        <f t="shared" si="87"/>
        <v>8.72188982094217</v>
      </c>
      <c r="AM71" s="26">
        <f t="shared" si="87"/>
        <v>7.042125</v>
      </c>
      <c r="AN71" s="26">
        <f t="shared" si="88"/>
        <v>0</v>
      </c>
      <c r="AO71" s="23">
        <v>0</v>
      </c>
      <c r="AP71" s="15">
        <f t="shared" si="107"/>
        <v>15.76401482094217</v>
      </c>
      <c r="AQ71" s="26">
        <f t="shared" si="89"/>
        <v>9.345376173053396</v>
      </c>
      <c r="AR71" s="26">
        <f t="shared" si="89"/>
        <v>7.834364062500001</v>
      </c>
      <c r="AS71" s="26">
        <f t="shared" si="90"/>
        <v>0</v>
      </c>
      <c r="AT71" s="23">
        <v>0</v>
      </c>
      <c r="AU71" s="15">
        <f t="shared" si="108"/>
        <v>17.179740235553396</v>
      </c>
      <c r="AV71" s="26">
        <f t="shared" si="91"/>
        <v>10.013432594180578</v>
      </c>
      <c r="AW71" s="26">
        <f t="shared" si="91"/>
        <v>8.71573001953125</v>
      </c>
      <c r="AX71" s="26">
        <f t="shared" si="92"/>
        <v>0</v>
      </c>
      <c r="AY71" s="26"/>
      <c r="AZ71" s="15">
        <f t="shared" si="115"/>
        <v>18.72916261371183</v>
      </c>
      <c r="BA71" s="26">
        <f t="shared" si="93"/>
        <v>10.729245186225324</v>
      </c>
      <c r="BB71" s="26">
        <f t="shared" si="93"/>
        <v>9.696249646728516</v>
      </c>
      <c r="BC71" s="26">
        <f t="shared" si="94"/>
        <v>0</v>
      </c>
      <c r="BD71" s="23">
        <v>0</v>
      </c>
      <c r="BE71" s="15">
        <f t="shared" si="109"/>
        <v>20.425494832953838</v>
      </c>
      <c r="BF71" s="26">
        <f t="shared" si="95"/>
        <v>11.496227810335556</v>
      </c>
      <c r="BG71" s="26">
        <f t="shared" si="95"/>
        <v>10.787077731985473</v>
      </c>
      <c r="BH71" s="26">
        <f t="shared" si="96"/>
        <v>0</v>
      </c>
      <c r="BI71" s="23">
        <v>0</v>
      </c>
      <c r="BJ71" s="15">
        <f t="shared" si="110"/>
        <v>22.28330554232103</v>
      </c>
      <c r="BK71" s="26">
        <f t="shared" si="97"/>
        <v>12.31803836832899</v>
      </c>
      <c r="BL71" s="26">
        <f t="shared" si="97"/>
        <v>12.00062397683384</v>
      </c>
      <c r="BM71" s="26">
        <f t="shared" si="98"/>
        <v>0</v>
      </c>
      <c r="BN71" s="26">
        <f t="shared" si="99"/>
        <v>0</v>
      </c>
      <c r="BO71" s="15">
        <f t="shared" si="111"/>
        <v>24.318662345162828</v>
      </c>
      <c r="BP71" s="20">
        <v>0.07148523598798164</v>
      </c>
      <c r="BQ71" s="18">
        <v>0.1125</v>
      </c>
    </row>
    <row r="72" spans="1:69" s="19" customFormat="1" ht="30">
      <c r="A72" s="21">
        <v>101</v>
      </c>
      <c r="B72" s="2" t="s">
        <v>63</v>
      </c>
      <c r="C72" s="22">
        <v>2.24</v>
      </c>
      <c r="D72" s="22">
        <v>1.93</v>
      </c>
      <c r="E72" s="43">
        <v>0</v>
      </c>
      <c r="F72" s="23">
        <v>0</v>
      </c>
      <c r="G72" s="15">
        <f t="shared" si="85"/>
        <v>4.17</v>
      </c>
      <c r="H72" s="1">
        <v>2.4</v>
      </c>
      <c r="I72" s="1">
        <v>2.85</v>
      </c>
      <c r="J72" s="26">
        <v>0</v>
      </c>
      <c r="K72" s="23">
        <v>0</v>
      </c>
      <c r="L72" s="15">
        <f t="shared" si="86"/>
        <v>5.25</v>
      </c>
      <c r="M72" s="26">
        <v>2.39</v>
      </c>
      <c r="N72" s="26">
        <v>1.09</v>
      </c>
      <c r="O72" s="26">
        <v>0</v>
      </c>
      <c r="P72" s="23">
        <v>0</v>
      </c>
      <c r="Q72" s="25">
        <f t="shared" si="116"/>
        <v>3.4800000000000004</v>
      </c>
      <c r="R72" s="26">
        <v>2.9</v>
      </c>
      <c r="S72" s="26">
        <v>1.73</v>
      </c>
      <c r="T72" s="26">
        <v>0</v>
      </c>
      <c r="U72" s="23">
        <v>0</v>
      </c>
      <c r="V72" s="15">
        <f t="shared" si="112"/>
        <v>4.63</v>
      </c>
      <c r="W72" s="26">
        <v>0</v>
      </c>
      <c r="X72" s="26">
        <v>0</v>
      </c>
      <c r="Y72" s="26">
        <v>0</v>
      </c>
      <c r="Z72" s="23">
        <v>0</v>
      </c>
      <c r="AA72" s="15">
        <f t="shared" si="113"/>
        <v>0</v>
      </c>
      <c r="AB72" s="23">
        <v>0</v>
      </c>
      <c r="AC72" s="23">
        <v>0</v>
      </c>
      <c r="AD72" s="23">
        <v>0</v>
      </c>
      <c r="AE72" s="23">
        <v>0</v>
      </c>
      <c r="AF72" s="15">
        <f t="shared" si="114"/>
        <v>0</v>
      </c>
      <c r="AG72" s="23">
        <v>0</v>
      </c>
      <c r="AH72" s="23">
        <v>0</v>
      </c>
      <c r="AI72" s="23">
        <v>0</v>
      </c>
      <c r="AJ72" s="23">
        <v>0</v>
      </c>
      <c r="AK72" s="15">
        <f t="shared" si="106"/>
        <v>0</v>
      </c>
      <c r="AL72" s="26">
        <f t="shared" si="87"/>
        <v>0</v>
      </c>
      <c r="AM72" s="26">
        <f t="shared" si="87"/>
        <v>0</v>
      </c>
      <c r="AN72" s="26">
        <f t="shared" si="88"/>
        <v>0</v>
      </c>
      <c r="AO72" s="23">
        <v>0</v>
      </c>
      <c r="AP72" s="15">
        <f t="shared" si="107"/>
        <v>0</v>
      </c>
      <c r="AQ72" s="26">
        <f t="shared" si="89"/>
        <v>0</v>
      </c>
      <c r="AR72" s="26">
        <f t="shared" si="89"/>
        <v>0</v>
      </c>
      <c r="AS72" s="26">
        <f t="shared" si="90"/>
        <v>0</v>
      </c>
      <c r="AT72" s="23">
        <v>0</v>
      </c>
      <c r="AU72" s="15">
        <f t="shared" si="108"/>
        <v>0</v>
      </c>
      <c r="AV72" s="26">
        <f t="shared" si="91"/>
        <v>0</v>
      </c>
      <c r="AW72" s="26">
        <f t="shared" si="91"/>
        <v>0</v>
      </c>
      <c r="AX72" s="26">
        <f t="shared" si="92"/>
        <v>0</v>
      </c>
      <c r="AY72" s="26"/>
      <c r="AZ72" s="15">
        <f t="shared" si="115"/>
        <v>0</v>
      </c>
      <c r="BA72" s="26">
        <f t="shared" si="93"/>
        <v>0</v>
      </c>
      <c r="BB72" s="26">
        <f t="shared" si="93"/>
        <v>0</v>
      </c>
      <c r="BC72" s="26">
        <f t="shared" si="94"/>
        <v>0</v>
      </c>
      <c r="BD72" s="23">
        <v>0</v>
      </c>
      <c r="BE72" s="15">
        <f t="shared" si="109"/>
        <v>0</v>
      </c>
      <c r="BF72" s="26">
        <f t="shared" si="95"/>
        <v>0</v>
      </c>
      <c r="BG72" s="26">
        <f t="shared" si="95"/>
        <v>0</v>
      </c>
      <c r="BH72" s="26">
        <f t="shared" si="96"/>
        <v>0</v>
      </c>
      <c r="BI72" s="23">
        <v>0</v>
      </c>
      <c r="BJ72" s="15">
        <f t="shared" si="110"/>
        <v>0</v>
      </c>
      <c r="BK72" s="26">
        <f t="shared" si="97"/>
        <v>0</v>
      </c>
      <c r="BL72" s="26">
        <f t="shared" si="97"/>
        <v>0</v>
      </c>
      <c r="BM72" s="26">
        <f t="shared" si="98"/>
        <v>0</v>
      </c>
      <c r="BN72" s="26">
        <f t="shared" si="99"/>
        <v>0</v>
      </c>
      <c r="BO72" s="15">
        <f t="shared" si="111"/>
        <v>0</v>
      </c>
      <c r="BP72" s="20"/>
      <c r="BQ72" s="18"/>
    </row>
    <row r="73" spans="1:69" s="19" customFormat="1" ht="30">
      <c r="A73" s="21">
        <v>102</v>
      </c>
      <c r="B73" s="2" t="s">
        <v>64</v>
      </c>
      <c r="C73" s="22">
        <v>0.46</v>
      </c>
      <c r="D73" s="22">
        <v>1.76</v>
      </c>
      <c r="E73" s="43">
        <v>0</v>
      </c>
      <c r="F73" s="23">
        <v>0</v>
      </c>
      <c r="G73" s="15">
        <f t="shared" si="85"/>
        <v>2.22</v>
      </c>
      <c r="H73" s="1">
        <v>0.36</v>
      </c>
      <c r="I73" s="1">
        <v>0.71</v>
      </c>
      <c r="J73" s="26">
        <v>0</v>
      </c>
      <c r="K73" s="23">
        <v>0</v>
      </c>
      <c r="L73" s="15">
        <f t="shared" si="86"/>
        <v>1.0699999999999998</v>
      </c>
      <c r="M73" s="26">
        <v>0.42</v>
      </c>
      <c r="N73" s="26">
        <v>0.16</v>
      </c>
      <c r="O73" s="26">
        <v>0</v>
      </c>
      <c r="P73" s="23">
        <v>0</v>
      </c>
      <c r="Q73" s="25">
        <f t="shared" si="116"/>
        <v>0.58</v>
      </c>
      <c r="R73" s="26">
        <v>0.31</v>
      </c>
      <c r="S73" s="26">
        <v>1.01</v>
      </c>
      <c r="T73" s="26">
        <v>0</v>
      </c>
      <c r="U73" s="23">
        <v>0</v>
      </c>
      <c r="V73" s="15">
        <f t="shared" si="112"/>
        <v>1.32</v>
      </c>
      <c r="W73" s="26">
        <v>0</v>
      </c>
      <c r="X73" s="26">
        <v>0</v>
      </c>
      <c r="Y73" s="26">
        <v>0</v>
      </c>
      <c r="Z73" s="23">
        <v>0</v>
      </c>
      <c r="AA73" s="15">
        <f t="shared" si="113"/>
        <v>0</v>
      </c>
      <c r="AB73" s="23">
        <v>0</v>
      </c>
      <c r="AC73" s="23">
        <v>0</v>
      </c>
      <c r="AD73" s="23">
        <v>0</v>
      </c>
      <c r="AE73" s="23">
        <v>0</v>
      </c>
      <c r="AF73" s="15">
        <f t="shared" si="114"/>
        <v>0</v>
      </c>
      <c r="AG73" s="23">
        <v>0</v>
      </c>
      <c r="AH73" s="23">
        <v>0</v>
      </c>
      <c r="AI73" s="23">
        <v>0</v>
      </c>
      <c r="AJ73" s="23">
        <v>0</v>
      </c>
      <c r="AK73" s="15">
        <f t="shared" si="106"/>
        <v>0</v>
      </c>
      <c r="AL73" s="26">
        <f t="shared" si="87"/>
        <v>0</v>
      </c>
      <c r="AM73" s="26">
        <f t="shared" si="87"/>
        <v>0</v>
      </c>
      <c r="AN73" s="26">
        <f t="shared" si="88"/>
        <v>0</v>
      </c>
      <c r="AO73" s="23">
        <v>0</v>
      </c>
      <c r="AP73" s="15">
        <f t="shared" si="107"/>
        <v>0</v>
      </c>
      <c r="AQ73" s="26">
        <f t="shared" si="89"/>
        <v>0</v>
      </c>
      <c r="AR73" s="26">
        <f t="shared" si="89"/>
        <v>0</v>
      </c>
      <c r="AS73" s="26">
        <f t="shared" si="90"/>
        <v>0</v>
      </c>
      <c r="AT73" s="23">
        <v>0</v>
      </c>
      <c r="AU73" s="15">
        <f t="shared" si="108"/>
        <v>0</v>
      </c>
      <c r="AV73" s="26">
        <f t="shared" si="91"/>
        <v>0</v>
      </c>
      <c r="AW73" s="26">
        <f t="shared" si="91"/>
        <v>0</v>
      </c>
      <c r="AX73" s="26">
        <f t="shared" si="92"/>
        <v>0</v>
      </c>
      <c r="AY73" s="26"/>
      <c r="AZ73" s="15">
        <f t="shared" si="115"/>
        <v>0</v>
      </c>
      <c r="BA73" s="26">
        <f t="shared" si="93"/>
        <v>0</v>
      </c>
      <c r="BB73" s="26">
        <f t="shared" si="93"/>
        <v>0</v>
      </c>
      <c r="BC73" s="26">
        <f t="shared" si="94"/>
        <v>0</v>
      </c>
      <c r="BD73" s="23">
        <v>0</v>
      </c>
      <c r="BE73" s="15">
        <f t="shared" si="109"/>
        <v>0</v>
      </c>
      <c r="BF73" s="26">
        <f t="shared" si="95"/>
        <v>0</v>
      </c>
      <c r="BG73" s="26">
        <f t="shared" si="95"/>
        <v>0</v>
      </c>
      <c r="BH73" s="26">
        <f t="shared" si="96"/>
        <v>0</v>
      </c>
      <c r="BI73" s="23">
        <v>0</v>
      </c>
      <c r="BJ73" s="15">
        <f t="shared" si="110"/>
        <v>0</v>
      </c>
      <c r="BK73" s="26">
        <f t="shared" si="97"/>
        <v>0</v>
      </c>
      <c r="BL73" s="26">
        <f t="shared" si="97"/>
        <v>0</v>
      </c>
      <c r="BM73" s="26">
        <f t="shared" si="98"/>
        <v>0</v>
      </c>
      <c r="BN73" s="26">
        <f t="shared" si="99"/>
        <v>0</v>
      </c>
      <c r="BO73" s="15">
        <f t="shared" si="111"/>
        <v>0</v>
      </c>
      <c r="BP73" s="20"/>
      <c r="BQ73" s="18"/>
    </row>
    <row r="74" spans="1:69" s="19" customFormat="1" ht="30">
      <c r="A74" s="21">
        <v>191</v>
      </c>
      <c r="B74" s="2" t="s">
        <v>65</v>
      </c>
      <c r="C74" s="22">
        <v>0</v>
      </c>
      <c r="D74" s="22">
        <v>0</v>
      </c>
      <c r="E74" s="43">
        <v>0</v>
      </c>
      <c r="F74" s="23">
        <v>0</v>
      </c>
      <c r="G74" s="15">
        <f t="shared" si="85"/>
        <v>0</v>
      </c>
      <c r="H74" s="26">
        <v>0</v>
      </c>
      <c r="I74" s="26">
        <v>0</v>
      </c>
      <c r="J74" s="26">
        <v>0</v>
      </c>
      <c r="K74" s="23">
        <v>0</v>
      </c>
      <c r="L74" s="15">
        <f t="shared" si="86"/>
        <v>0</v>
      </c>
      <c r="M74" s="26">
        <v>0</v>
      </c>
      <c r="N74" s="26">
        <v>0</v>
      </c>
      <c r="O74" s="26">
        <v>0</v>
      </c>
      <c r="P74" s="23">
        <v>0</v>
      </c>
      <c r="Q74" s="25">
        <f t="shared" si="116"/>
        <v>0</v>
      </c>
      <c r="R74" s="26">
        <v>0</v>
      </c>
      <c r="S74" s="26">
        <v>0</v>
      </c>
      <c r="T74" s="26">
        <v>0</v>
      </c>
      <c r="U74" s="23">
        <v>0</v>
      </c>
      <c r="V74" s="15">
        <f t="shared" si="112"/>
        <v>0</v>
      </c>
      <c r="W74" s="26">
        <v>0</v>
      </c>
      <c r="X74" s="26">
        <v>0</v>
      </c>
      <c r="Y74" s="26">
        <v>0</v>
      </c>
      <c r="Z74" s="23">
        <v>0</v>
      </c>
      <c r="AA74" s="15">
        <f t="shared" si="113"/>
        <v>0</v>
      </c>
      <c r="AB74" s="23">
        <v>0</v>
      </c>
      <c r="AC74" s="23">
        <v>0</v>
      </c>
      <c r="AD74" s="23">
        <v>0</v>
      </c>
      <c r="AE74" s="23">
        <v>0</v>
      </c>
      <c r="AF74" s="15">
        <f t="shared" si="114"/>
        <v>0</v>
      </c>
      <c r="AG74" s="23">
        <v>0</v>
      </c>
      <c r="AH74" s="23">
        <v>0</v>
      </c>
      <c r="AI74" s="23">
        <v>0</v>
      </c>
      <c r="AJ74" s="23">
        <v>0</v>
      </c>
      <c r="AK74" s="15">
        <f t="shared" si="106"/>
        <v>0</v>
      </c>
      <c r="AL74" s="26">
        <f t="shared" si="87"/>
        <v>0</v>
      </c>
      <c r="AM74" s="26">
        <f t="shared" si="87"/>
        <v>0</v>
      </c>
      <c r="AN74" s="26">
        <f t="shared" si="88"/>
        <v>0</v>
      </c>
      <c r="AO74" s="23">
        <v>0</v>
      </c>
      <c r="AP74" s="15">
        <f t="shared" si="107"/>
        <v>0</v>
      </c>
      <c r="AQ74" s="26">
        <f t="shared" si="89"/>
        <v>0</v>
      </c>
      <c r="AR74" s="26">
        <f t="shared" si="89"/>
        <v>0</v>
      </c>
      <c r="AS74" s="26">
        <f t="shared" si="90"/>
        <v>0</v>
      </c>
      <c r="AT74" s="23">
        <v>0</v>
      </c>
      <c r="AU74" s="15">
        <f t="shared" si="108"/>
        <v>0</v>
      </c>
      <c r="AV74" s="26">
        <f t="shared" si="91"/>
        <v>0</v>
      </c>
      <c r="AW74" s="26">
        <f t="shared" si="91"/>
        <v>0</v>
      </c>
      <c r="AX74" s="26">
        <f t="shared" si="92"/>
        <v>0</v>
      </c>
      <c r="AY74" s="26"/>
      <c r="AZ74" s="15">
        <f t="shared" si="115"/>
        <v>0</v>
      </c>
      <c r="BA74" s="26">
        <f t="shared" si="93"/>
        <v>0</v>
      </c>
      <c r="BB74" s="26">
        <f t="shared" si="93"/>
        <v>0</v>
      </c>
      <c r="BC74" s="26">
        <f t="shared" si="94"/>
        <v>0</v>
      </c>
      <c r="BD74" s="23">
        <v>0</v>
      </c>
      <c r="BE74" s="15">
        <f t="shared" si="109"/>
        <v>0</v>
      </c>
      <c r="BF74" s="26">
        <f t="shared" si="95"/>
        <v>0</v>
      </c>
      <c r="BG74" s="26">
        <f t="shared" si="95"/>
        <v>0</v>
      </c>
      <c r="BH74" s="26">
        <f t="shared" si="96"/>
        <v>0</v>
      </c>
      <c r="BI74" s="23">
        <v>0</v>
      </c>
      <c r="BJ74" s="15">
        <f t="shared" si="110"/>
        <v>0</v>
      </c>
      <c r="BK74" s="26">
        <f t="shared" si="97"/>
        <v>0</v>
      </c>
      <c r="BL74" s="26">
        <f t="shared" si="97"/>
        <v>0</v>
      </c>
      <c r="BM74" s="26">
        <f t="shared" si="98"/>
        <v>0</v>
      </c>
      <c r="BN74" s="26">
        <f t="shared" si="99"/>
        <v>0</v>
      </c>
      <c r="BO74" s="15">
        <f t="shared" si="111"/>
        <v>0</v>
      </c>
      <c r="BP74" s="20"/>
      <c r="BQ74" s="18"/>
    </row>
    <row r="75" spans="1:69" s="19" customFormat="1" ht="15">
      <c r="A75" s="21" t="s">
        <v>51</v>
      </c>
      <c r="B75" s="2" t="s">
        <v>66</v>
      </c>
      <c r="C75" s="1">
        <v>0.74</v>
      </c>
      <c r="D75" s="1">
        <v>0.48</v>
      </c>
      <c r="E75" s="23">
        <v>0</v>
      </c>
      <c r="F75" s="23">
        <v>0</v>
      </c>
      <c r="G75" s="15">
        <f t="shared" si="85"/>
        <v>1.22</v>
      </c>
      <c r="H75" s="1">
        <v>0.83</v>
      </c>
      <c r="I75" s="1">
        <f>1.38+J75</f>
        <v>1.89</v>
      </c>
      <c r="J75" s="1">
        <v>0.51</v>
      </c>
      <c r="K75" s="23">
        <v>0</v>
      </c>
      <c r="L75" s="15">
        <f t="shared" si="86"/>
        <v>2.7199999999999998</v>
      </c>
      <c r="M75" s="26">
        <v>0.86</v>
      </c>
      <c r="N75" s="26">
        <v>0.47</v>
      </c>
      <c r="O75" s="26">
        <v>0</v>
      </c>
      <c r="P75" s="23">
        <v>0</v>
      </c>
      <c r="Q75" s="25">
        <f t="shared" si="116"/>
        <v>1.33</v>
      </c>
      <c r="R75" s="26">
        <v>0.7</v>
      </c>
      <c r="S75" s="26">
        <v>0</v>
      </c>
      <c r="T75" s="26">
        <v>0</v>
      </c>
      <c r="U75" s="23">
        <v>0</v>
      </c>
      <c r="V75" s="15">
        <f t="shared" si="112"/>
        <v>0.7</v>
      </c>
      <c r="W75" s="26">
        <v>0.6</v>
      </c>
      <c r="X75" s="26">
        <v>0</v>
      </c>
      <c r="Y75" s="26">
        <v>0</v>
      </c>
      <c r="Z75" s="23">
        <v>0</v>
      </c>
      <c r="AA75" s="15">
        <f t="shared" si="113"/>
        <v>0.6</v>
      </c>
      <c r="AB75" s="23">
        <v>0</v>
      </c>
      <c r="AC75" s="23">
        <v>0</v>
      </c>
      <c r="AD75" s="23">
        <v>0</v>
      </c>
      <c r="AE75" s="23">
        <v>0</v>
      </c>
      <c r="AF75" s="15">
        <f t="shared" si="114"/>
        <v>0</v>
      </c>
      <c r="AG75" s="23">
        <v>0</v>
      </c>
      <c r="AH75" s="23">
        <v>0</v>
      </c>
      <c r="AI75" s="23">
        <v>0</v>
      </c>
      <c r="AJ75" s="23">
        <v>0</v>
      </c>
      <c r="AK75" s="15">
        <f t="shared" si="106"/>
        <v>0</v>
      </c>
      <c r="AL75" s="26">
        <f t="shared" si="87"/>
        <v>0</v>
      </c>
      <c r="AM75" s="26">
        <f t="shared" si="87"/>
        <v>0</v>
      </c>
      <c r="AN75" s="26">
        <f t="shared" si="88"/>
        <v>0</v>
      </c>
      <c r="AO75" s="23">
        <v>0</v>
      </c>
      <c r="AP75" s="15">
        <f t="shared" si="107"/>
        <v>0</v>
      </c>
      <c r="AQ75" s="26">
        <f t="shared" si="89"/>
        <v>0</v>
      </c>
      <c r="AR75" s="26">
        <f t="shared" si="89"/>
        <v>0</v>
      </c>
      <c r="AS75" s="26">
        <f t="shared" si="90"/>
        <v>0</v>
      </c>
      <c r="AT75" s="23">
        <v>0</v>
      </c>
      <c r="AU75" s="15">
        <f t="shared" si="108"/>
        <v>0</v>
      </c>
      <c r="AV75" s="26">
        <f t="shared" si="91"/>
        <v>0</v>
      </c>
      <c r="AW75" s="26">
        <f t="shared" si="91"/>
        <v>0</v>
      </c>
      <c r="AX75" s="26">
        <f t="shared" si="92"/>
        <v>0</v>
      </c>
      <c r="AY75" s="26"/>
      <c r="AZ75" s="15">
        <f t="shared" si="115"/>
        <v>0</v>
      </c>
      <c r="BA75" s="26">
        <f t="shared" si="93"/>
        <v>0</v>
      </c>
      <c r="BB75" s="26">
        <f t="shared" si="93"/>
        <v>0</v>
      </c>
      <c r="BC75" s="26">
        <f t="shared" si="94"/>
        <v>0</v>
      </c>
      <c r="BD75" s="23">
        <v>0</v>
      </c>
      <c r="BE75" s="15">
        <f t="shared" si="109"/>
        <v>0</v>
      </c>
      <c r="BF75" s="26">
        <f t="shared" si="95"/>
        <v>0</v>
      </c>
      <c r="BG75" s="26">
        <f t="shared" si="95"/>
        <v>0</v>
      </c>
      <c r="BH75" s="26">
        <f t="shared" si="96"/>
        <v>0</v>
      </c>
      <c r="BI75" s="23">
        <v>0</v>
      </c>
      <c r="BJ75" s="15">
        <f t="shared" si="110"/>
        <v>0</v>
      </c>
      <c r="BK75" s="26">
        <f t="shared" si="97"/>
        <v>0</v>
      </c>
      <c r="BL75" s="26">
        <f t="shared" si="97"/>
        <v>0</v>
      </c>
      <c r="BM75" s="26">
        <f t="shared" si="98"/>
        <v>0</v>
      </c>
      <c r="BN75" s="26">
        <f t="shared" si="99"/>
        <v>0</v>
      </c>
      <c r="BO75" s="15">
        <f t="shared" si="111"/>
        <v>0</v>
      </c>
      <c r="BP75" s="20"/>
      <c r="BQ75" s="18"/>
    </row>
    <row r="76" spans="1:69" s="19" customFormat="1" ht="15">
      <c r="A76" s="21">
        <v>2216</v>
      </c>
      <c r="B76" s="2" t="s">
        <v>176</v>
      </c>
      <c r="C76" s="1">
        <v>3.04</v>
      </c>
      <c r="D76" s="1">
        <v>14.75</v>
      </c>
      <c r="E76" s="23">
        <v>0</v>
      </c>
      <c r="F76" s="23">
        <v>0</v>
      </c>
      <c r="G76" s="15">
        <f t="shared" si="85"/>
        <v>17.79</v>
      </c>
      <c r="H76" s="1">
        <v>9.33</v>
      </c>
      <c r="I76" s="1">
        <v>23.59</v>
      </c>
      <c r="J76" s="26">
        <v>0</v>
      </c>
      <c r="K76" s="23">
        <v>0</v>
      </c>
      <c r="L76" s="15">
        <f t="shared" si="86"/>
        <v>32.92</v>
      </c>
      <c r="M76" s="26">
        <v>4.31</v>
      </c>
      <c r="N76" s="26">
        <v>25.48</v>
      </c>
      <c r="O76" s="26">
        <v>0</v>
      </c>
      <c r="P76" s="23">
        <v>0</v>
      </c>
      <c r="Q76" s="25">
        <f t="shared" si="116"/>
        <v>29.79</v>
      </c>
      <c r="R76" s="26">
        <v>3.54</v>
      </c>
      <c r="S76" s="26">
        <v>12.77</v>
      </c>
      <c r="T76" s="26">
        <v>0</v>
      </c>
      <c r="U76" s="23">
        <v>0</v>
      </c>
      <c r="V76" s="15">
        <f t="shared" si="112"/>
        <v>16.31</v>
      </c>
      <c r="W76" s="26">
        <v>4.24</v>
      </c>
      <c r="X76" s="26">
        <v>24.94</v>
      </c>
      <c r="Y76" s="26">
        <v>0</v>
      </c>
      <c r="Z76" s="23">
        <v>0</v>
      </c>
      <c r="AA76" s="15">
        <f t="shared" si="113"/>
        <v>29.18</v>
      </c>
      <c r="AB76" s="1">
        <v>4.75</v>
      </c>
      <c r="AC76" s="1">
        <v>161.52</v>
      </c>
      <c r="AD76" s="1"/>
      <c r="AE76" s="23">
        <v>0</v>
      </c>
      <c r="AF76" s="15">
        <f t="shared" si="114"/>
        <v>166.27</v>
      </c>
      <c r="AG76" s="1">
        <v>5.79</v>
      </c>
      <c r="AH76" s="1">
        <v>148.92</v>
      </c>
      <c r="AI76" s="26">
        <v>0</v>
      </c>
      <c r="AJ76" s="23">
        <v>0</v>
      </c>
      <c r="AK76" s="15">
        <f t="shared" si="106"/>
        <v>154.70999999999998</v>
      </c>
      <c r="AL76" s="26">
        <f t="shared" si="87"/>
        <v>5.9082884131585915</v>
      </c>
      <c r="AM76" s="26">
        <f t="shared" si="87"/>
        <v>165.6735</v>
      </c>
      <c r="AN76" s="26">
        <f t="shared" si="88"/>
        <v>0</v>
      </c>
      <c r="AO76" s="23">
        <v>0</v>
      </c>
      <c r="AP76" s="15">
        <f t="shared" si="107"/>
        <v>171.5817884131586</v>
      </c>
      <c r="AQ76" s="26">
        <f t="shared" si="89"/>
        <v>6.02899343230813</v>
      </c>
      <c r="AR76" s="26">
        <f t="shared" si="89"/>
        <v>184.31176875</v>
      </c>
      <c r="AS76" s="26">
        <f t="shared" si="90"/>
        <v>0</v>
      </c>
      <c r="AT76" s="23">
        <v>0</v>
      </c>
      <c r="AU76" s="15">
        <f t="shared" si="108"/>
        <v>190.34076218230814</v>
      </c>
      <c r="AV76" s="26">
        <f t="shared" si="91"/>
        <v>6.152164428171912</v>
      </c>
      <c r="AW76" s="26">
        <f t="shared" si="91"/>
        <v>205.046842734375</v>
      </c>
      <c r="AX76" s="26">
        <f t="shared" si="92"/>
        <v>0</v>
      </c>
      <c r="AY76" s="26"/>
      <c r="AZ76" s="15">
        <f t="shared" si="115"/>
        <v>211.1990071625469</v>
      </c>
      <c r="BA76" s="26">
        <f t="shared" si="93"/>
        <v>6.277851780106142</v>
      </c>
      <c r="BB76" s="26">
        <f t="shared" si="93"/>
        <v>228.1146125419922</v>
      </c>
      <c r="BC76" s="26">
        <f t="shared" si="94"/>
        <v>0</v>
      </c>
      <c r="BD76" s="23">
        <v>0</v>
      </c>
      <c r="BE76" s="15">
        <f t="shared" si="109"/>
        <v>234.39246432209833</v>
      </c>
      <c r="BF76" s="26">
        <f t="shared" si="95"/>
        <v>6.406106896706072</v>
      </c>
      <c r="BG76" s="26">
        <f t="shared" si="95"/>
        <v>253.77750645296632</v>
      </c>
      <c r="BH76" s="26">
        <f t="shared" si="96"/>
        <v>0</v>
      </c>
      <c r="BI76" s="23">
        <v>0</v>
      </c>
      <c r="BJ76" s="15">
        <f t="shared" si="110"/>
        <v>260.1836133496724</v>
      </c>
      <c r="BK76" s="26">
        <f t="shared" si="97"/>
        <v>6.536982236833132</v>
      </c>
      <c r="BL76" s="26">
        <f t="shared" si="97"/>
        <v>282.327475928925</v>
      </c>
      <c r="BM76" s="26">
        <f t="shared" si="98"/>
        <v>0</v>
      </c>
      <c r="BN76" s="26">
        <f t="shared" si="99"/>
        <v>0</v>
      </c>
      <c r="BO76" s="15">
        <f t="shared" si="111"/>
        <v>288.86445816575815</v>
      </c>
      <c r="BP76" s="20">
        <v>0.02042977774759791</v>
      </c>
      <c r="BQ76" s="18">
        <v>0.1125</v>
      </c>
    </row>
    <row r="77" spans="1:69" s="19" customFormat="1" ht="15">
      <c r="A77" s="21">
        <v>2059</v>
      </c>
      <c r="B77" s="2" t="s">
        <v>244</v>
      </c>
      <c r="C77" s="1">
        <v>20.95</v>
      </c>
      <c r="D77" s="1">
        <v>1.53</v>
      </c>
      <c r="E77" s="23">
        <v>0</v>
      </c>
      <c r="F77" s="23">
        <v>0</v>
      </c>
      <c r="G77" s="15">
        <f t="shared" si="85"/>
        <v>22.48</v>
      </c>
      <c r="H77" s="1">
        <f>20.57+0.22</f>
        <v>20.79</v>
      </c>
      <c r="I77" s="1">
        <v>1.39</v>
      </c>
      <c r="J77" s="26">
        <v>0</v>
      </c>
      <c r="K77" s="23">
        <v>0</v>
      </c>
      <c r="L77" s="15">
        <f t="shared" si="86"/>
        <v>22.18</v>
      </c>
      <c r="M77" s="26">
        <f>0.19+17.35</f>
        <v>17.540000000000003</v>
      </c>
      <c r="N77" s="26">
        <v>1.99</v>
      </c>
      <c r="O77" s="26">
        <v>0</v>
      </c>
      <c r="P77" s="23">
        <v>0</v>
      </c>
      <c r="Q77" s="25">
        <f t="shared" si="116"/>
        <v>19.53</v>
      </c>
      <c r="R77" s="26">
        <v>10.95</v>
      </c>
      <c r="S77" s="26">
        <v>1.54</v>
      </c>
      <c r="T77" s="26">
        <v>0</v>
      </c>
      <c r="U77" s="23">
        <v>0</v>
      </c>
      <c r="V77" s="15">
        <f t="shared" si="112"/>
        <v>12.489999999999998</v>
      </c>
      <c r="W77" s="26">
        <f>0.1+11.82</f>
        <v>11.92</v>
      </c>
      <c r="X77" s="26">
        <v>5.72</v>
      </c>
      <c r="Y77" s="26">
        <v>0</v>
      </c>
      <c r="Z77" s="23">
        <v>0</v>
      </c>
      <c r="AA77" s="15">
        <f t="shared" si="113"/>
        <v>17.64</v>
      </c>
      <c r="AB77" s="1">
        <v>13.6</v>
      </c>
      <c r="AC77" s="1">
        <v>2.11</v>
      </c>
      <c r="AD77" s="1"/>
      <c r="AE77" s="23">
        <v>0</v>
      </c>
      <c r="AF77" s="15">
        <f t="shared" si="114"/>
        <v>15.709999999999999</v>
      </c>
      <c r="AG77" s="1">
        <v>15.03</v>
      </c>
      <c r="AH77" s="1">
        <v>38.22</v>
      </c>
      <c r="AI77" s="26">
        <v>0</v>
      </c>
      <c r="AJ77" s="23">
        <v>0</v>
      </c>
      <c r="AK77" s="15">
        <f t="shared" si="106"/>
        <v>53.25</v>
      </c>
      <c r="AL77" s="26">
        <f t="shared" si="87"/>
        <v>15.03</v>
      </c>
      <c r="AM77" s="26">
        <f t="shared" si="87"/>
        <v>42.51975</v>
      </c>
      <c r="AN77" s="26">
        <f t="shared" si="88"/>
        <v>0</v>
      </c>
      <c r="AO77" s="23">
        <v>0</v>
      </c>
      <c r="AP77" s="15">
        <f t="shared" si="107"/>
        <v>57.54975</v>
      </c>
      <c r="AQ77" s="26">
        <f t="shared" si="89"/>
        <v>15.03</v>
      </c>
      <c r="AR77" s="26">
        <f t="shared" si="89"/>
        <v>47.303221875000006</v>
      </c>
      <c r="AS77" s="26">
        <f t="shared" si="90"/>
        <v>0</v>
      </c>
      <c r="AT77" s="23">
        <v>0</v>
      </c>
      <c r="AU77" s="15">
        <f t="shared" si="108"/>
        <v>62.33322187500001</v>
      </c>
      <c r="AV77" s="26">
        <f t="shared" si="91"/>
        <v>15.03</v>
      </c>
      <c r="AW77" s="26">
        <f t="shared" si="91"/>
        <v>52.62483433593751</v>
      </c>
      <c r="AX77" s="26">
        <f t="shared" si="92"/>
        <v>0</v>
      </c>
      <c r="AY77" s="26"/>
      <c r="AZ77" s="15">
        <f t="shared" si="115"/>
        <v>67.65483433593751</v>
      </c>
      <c r="BA77" s="26">
        <f t="shared" si="93"/>
        <v>15.03</v>
      </c>
      <c r="BB77" s="26">
        <f t="shared" si="93"/>
        <v>58.545128198730474</v>
      </c>
      <c r="BC77" s="26">
        <f t="shared" si="94"/>
        <v>0</v>
      </c>
      <c r="BD77" s="23">
        <v>0</v>
      </c>
      <c r="BE77" s="15">
        <f t="shared" si="109"/>
        <v>73.57512819873047</v>
      </c>
      <c r="BF77" s="26">
        <f t="shared" si="95"/>
        <v>15.03</v>
      </c>
      <c r="BG77" s="26">
        <f t="shared" si="95"/>
        <v>65.13145512108765</v>
      </c>
      <c r="BH77" s="26">
        <f t="shared" si="96"/>
        <v>0</v>
      </c>
      <c r="BI77" s="23">
        <v>0</v>
      </c>
      <c r="BJ77" s="15">
        <f t="shared" si="110"/>
        <v>80.16145512108766</v>
      </c>
      <c r="BK77" s="26">
        <f t="shared" si="97"/>
        <v>15.03</v>
      </c>
      <c r="BL77" s="26">
        <f t="shared" si="97"/>
        <v>72.45874382221001</v>
      </c>
      <c r="BM77" s="26">
        <f t="shared" si="98"/>
        <v>0</v>
      </c>
      <c r="BN77" s="26">
        <f t="shared" si="99"/>
        <v>0</v>
      </c>
      <c r="BO77" s="15">
        <f t="shared" si="111"/>
        <v>87.48874382221001</v>
      </c>
      <c r="BP77" s="20"/>
      <c r="BQ77" s="18">
        <v>0.1125</v>
      </c>
    </row>
    <row r="78" spans="1:69" s="19" customFormat="1" ht="15">
      <c r="A78" s="21" t="s">
        <v>67</v>
      </c>
      <c r="B78" s="2" t="s">
        <v>68</v>
      </c>
      <c r="C78" s="1">
        <v>0</v>
      </c>
      <c r="D78" s="1">
        <v>0</v>
      </c>
      <c r="E78" s="23">
        <v>0</v>
      </c>
      <c r="F78" s="23">
        <v>0</v>
      </c>
      <c r="G78" s="15">
        <f t="shared" si="85"/>
        <v>0</v>
      </c>
      <c r="H78" s="26">
        <v>0</v>
      </c>
      <c r="I78" s="26">
        <v>0</v>
      </c>
      <c r="J78" s="26">
        <v>0</v>
      </c>
      <c r="K78" s="23">
        <v>0</v>
      </c>
      <c r="L78" s="15">
        <f t="shared" si="86"/>
        <v>0</v>
      </c>
      <c r="M78" s="26">
        <v>0</v>
      </c>
      <c r="N78" s="26">
        <v>0</v>
      </c>
      <c r="O78" s="26">
        <v>0</v>
      </c>
      <c r="P78" s="23">
        <v>0</v>
      </c>
      <c r="Q78" s="25">
        <f t="shared" si="116"/>
        <v>0</v>
      </c>
      <c r="R78" s="26">
        <v>0</v>
      </c>
      <c r="S78" s="26">
        <v>0</v>
      </c>
      <c r="T78" s="26">
        <v>0</v>
      </c>
      <c r="U78" s="23">
        <v>0</v>
      </c>
      <c r="V78" s="15">
        <f t="shared" si="112"/>
        <v>0</v>
      </c>
      <c r="W78" s="26">
        <v>0</v>
      </c>
      <c r="X78" s="26">
        <v>0</v>
      </c>
      <c r="Y78" s="26">
        <v>0</v>
      </c>
      <c r="Z78" s="23">
        <v>0</v>
      </c>
      <c r="AA78" s="15">
        <f t="shared" si="113"/>
        <v>0</v>
      </c>
      <c r="AB78" s="1"/>
      <c r="AC78" s="1"/>
      <c r="AD78" s="1"/>
      <c r="AE78" s="23">
        <v>0</v>
      </c>
      <c r="AF78" s="15">
        <f t="shared" si="114"/>
        <v>0</v>
      </c>
      <c r="AG78" s="26">
        <v>0</v>
      </c>
      <c r="AH78" s="26">
        <v>0</v>
      </c>
      <c r="AI78" s="26">
        <v>0</v>
      </c>
      <c r="AJ78" s="23">
        <v>0</v>
      </c>
      <c r="AK78" s="15">
        <f t="shared" si="106"/>
        <v>0</v>
      </c>
      <c r="AL78" s="26">
        <f t="shared" si="87"/>
        <v>0</v>
      </c>
      <c r="AM78" s="26">
        <f t="shared" si="87"/>
        <v>0</v>
      </c>
      <c r="AN78" s="26">
        <f t="shared" si="88"/>
        <v>0</v>
      </c>
      <c r="AO78" s="23">
        <v>0</v>
      </c>
      <c r="AP78" s="15">
        <f t="shared" si="107"/>
        <v>0</v>
      </c>
      <c r="AQ78" s="26">
        <f t="shared" si="89"/>
        <v>0</v>
      </c>
      <c r="AR78" s="26">
        <f t="shared" si="89"/>
        <v>0</v>
      </c>
      <c r="AS78" s="26">
        <f t="shared" si="90"/>
        <v>0</v>
      </c>
      <c r="AT78" s="23">
        <v>0</v>
      </c>
      <c r="AU78" s="15">
        <f t="shared" si="108"/>
        <v>0</v>
      </c>
      <c r="AV78" s="26">
        <f t="shared" si="91"/>
        <v>0</v>
      </c>
      <c r="AW78" s="26">
        <f t="shared" si="91"/>
        <v>0</v>
      </c>
      <c r="AX78" s="26">
        <f t="shared" si="92"/>
        <v>0</v>
      </c>
      <c r="AY78" s="26"/>
      <c r="AZ78" s="15">
        <f t="shared" si="115"/>
        <v>0</v>
      </c>
      <c r="BA78" s="26">
        <f t="shared" si="93"/>
        <v>0</v>
      </c>
      <c r="BB78" s="26">
        <f t="shared" si="93"/>
        <v>0</v>
      </c>
      <c r="BC78" s="26">
        <f t="shared" si="94"/>
        <v>0</v>
      </c>
      <c r="BD78" s="23">
        <v>0</v>
      </c>
      <c r="BE78" s="15">
        <f t="shared" si="109"/>
        <v>0</v>
      </c>
      <c r="BF78" s="26">
        <f t="shared" si="95"/>
        <v>0</v>
      </c>
      <c r="BG78" s="26">
        <f t="shared" si="95"/>
        <v>0</v>
      </c>
      <c r="BH78" s="26">
        <f t="shared" si="96"/>
        <v>0</v>
      </c>
      <c r="BI78" s="23">
        <v>0</v>
      </c>
      <c r="BJ78" s="15">
        <f t="shared" si="110"/>
        <v>0</v>
      </c>
      <c r="BK78" s="26">
        <f t="shared" si="97"/>
        <v>0</v>
      </c>
      <c r="BL78" s="26">
        <f t="shared" si="97"/>
        <v>0</v>
      </c>
      <c r="BM78" s="26">
        <f t="shared" si="98"/>
        <v>0</v>
      </c>
      <c r="BN78" s="26">
        <f t="shared" si="99"/>
        <v>0</v>
      </c>
      <c r="BO78" s="15">
        <f t="shared" si="111"/>
        <v>0</v>
      </c>
      <c r="BP78" s="20"/>
      <c r="BQ78" s="18"/>
    </row>
    <row r="79" spans="1:69" s="19" customFormat="1" ht="15">
      <c r="A79" s="21" t="s">
        <v>69</v>
      </c>
      <c r="B79" s="2" t="s">
        <v>178</v>
      </c>
      <c r="C79" s="1">
        <f>0.1+5.36+4.63</f>
        <v>10.09</v>
      </c>
      <c r="D79" s="1">
        <v>0.47</v>
      </c>
      <c r="E79" s="23">
        <v>0</v>
      </c>
      <c r="F79" s="23">
        <v>0</v>
      </c>
      <c r="G79" s="15">
        <f t="shared" si="85"/>
        <v>10.56</v>
      </c>
      <c r="H79" s="1">
        <f>7.83+0.21+1.56</f>
        <v>9.600000000000001</v>
      </c>
      <c r="I79" s="26">
        <v>0</v>
      </c>
      <c r="J79" s="26">
        <v>0</v>
      </c>
      <c r="K79" s="23">
        <v>0</v>
      </c>
      <c r="L79" s="15">
        <f t="shared" si="86"/>
        <v>9.600000000000001</v>
      </c>
      <c r="M79" s="26">
        <f>3.07+1.06</f>
        <v>4.13</v>
      </c>
      <c r="N79" s="26">
        <v>0</v>
      </c>
      <c r="O79" s="26">
        <v>0</v>
      </c>
      <c r="P79" s="23">
        <v>0</v>
      </c>
      <c r="Q79" s="25">
        <f t="shared" si="116"/>
        <v>4.13</v>
      </c>
      <c r="R79" s="26">
        <f>1.29+0.06</f>
        <v>1.35</v>
      </c>
      <c r="S79" s="26">
        <v>0</v>
      </c>
      <c r="T79" s="26">
        <v>0</v>
      </c>
      <c r="U79" s="23">
        <v>0</v>
      </c>
      <c r="V79" s="15">
        <f t="shared" si="112"/>
        <v>1.35</v>
      </c>
      <c r="W79" s="26">
        <f>3.28+1.57+1.1</f>
        <v>5.949999999999999</v>
      </c>
      <c r="X79" s="26">
        <f>2.99+0.31</f>
        <v>3.3000000000000003</v>
      </c>
      <c r="Y79" s="26">
        <v>0</v>
      </c>
      <c r="Z79" s="23">
        <v>0</v>
      </c>
      <c r="AA79" s="15">
        <f t="shared" si="113"/>
        <v>9.25</v>
      </c>
      <c r="AB79" s="1">
        <f>2.79+0.99+0.51+0.11+0.47+1.08+0.06</f>
        <v>6.01</v>
      </c>
      <c r="AC79" s="1">
        <f>0.48+0.1+1</f>
        <v>1.58</v>
      </c>
      <c r="AD79" s="1"/>
      <c r="AE79" s="23">
        <v>0</v>
      </c>
      <c r="AF79" s="15">
        <f t="shared" si="114"/>
        <v>7.59</v>
      </c>
      <c r="AG79" s="1">
        <f>2.81+1.06+0.53+0.1+0.6+1.26+0.06</f>
        <v>6.419999999999999</v>
      </c>
      <c r="AH79" s="1">
        <f>0.43+0.27+1</f>
        <v>1.7</v>
      </c>
      <c r="AI79" s="26">
        <v>0</v>
      </c>
      <c r="AJ79" s="23">
        <v>0</v>
      </c>
      <c r="AK79" s="15">
        <f t="shared" si="106"/>
        <v>8.12</v>
      </c>
      <c r="AL79" s="26">
        <f t="shared" si="87"/>
        <v>6.419999999999999</v>
      </c>
      <c r="AM79" s="26">
        <f t="shared" si="87"/>
        <v>1.8912499999999999</v>
      </c>
      <c r="AN79" s="26">
        <f t="shared" si="88"/>
        <v>0</v>
      </c>
      <c r="AO79" s="23">
        <v>0</v>
      </c>
      <c r="AP79" s="15">
        <f t="shared" si="107"/>
        <v>8.31125</v>
      </c>
      <c r="AQ79" s="26">
        <f t="shared" si="89"/>
        <v>6.419999999999999</v>
      </c>
      <c r="AR79" s="26">
        <f t="shared" si="89"/>
        <v>2.1040156249999997</v>
      </c>
      <c r="AS79" s="26">
        <f t="shared" si="90"/>
        <v>0</v>
      </c>
      <c r="AT79" s="23">
        <v>0</v>
      </c>
      <c r="AU79" s="15">
        <f t="shared" si="108"/>
        <v>8.524015624999999</v>
      </c>
      <c r="AV79" s="26">
        <f t="shared" si="91"/>
        <v>6.419999999999999</v>
      </c>
      <c r="AW79" s="26">
        <f t="shared" si="91"/>
        <v>2.3407173828124996</v>
      </c>
      <c r="AX79" s="26">
        <f t="shared" si="92"/>
        <v>0</v>
      </c>
      <c r="AY79" s="26"/>
      <c r="AZ79" s="15">
        <f t="shared" si="115"/>
        <v>8.760717382812498</v>
      </c>
      <c r="BA79" s="26">
        <f t="shared" si="93"/>
        <v>6.419999999999999</v>
      </c>
      <c r="BB79" s="26">
        <f t="shared" si="93"/>
        <v>2.6040480883789057</v>
      </c>
      <c r="BC79" s="26">
        <f t="shared" si="94"/>
        <v>0</v>
      </c>
      <c r="BD79" s="23">
        <v>0</v>
      </c>
      <c r="BE79" s="15">
        <f t="shared" si="109"/>
        <v>9.024048088378905</v>
      </c>
      <c r="BF79" s="26">
        <f t="shared" si="95"/>
        <v>6.419999999999999</v>
      </c>
      <c r="BG79" s="26">
        <f t="shared" si="95"/>
        <v>2.8970034983215327</v>
      </c>
      <c r="BH79" s="26">
        <f t="shared" si="96"/>
        <v>0</v>
      </c>
      <c r="BI79" s="23">
        <v>0</v>
      </c>
      <c r="BJ79" s="15">
        <f t="shared" si="110"/>
        <v>9.317003498321531</v>
      </c>
      <c r="BK79" s="26">
        <f t="shared" si="97"/>
        <v>6.419999999999999</v>
      </c>
      <c r="BL79" s="26">
        <f t="shared" si="97"/>
        <v>3.222916391882705</v>
      </c>
      <c r="BM79" s="26">
        <f t="shared" si="98"/>
        <v>0</v>
      </c>
      <c r="BN79" s="26">
        <f t="shared" si="99"/>
        <v>0</v>
      </c>
      <c r="BO79" s="15">
        <f t="shared" si="111"/>
        <v>9.642916391882704</v>
      </c>
      <c r="BP79" s="20"/>
      <c r="BQ79" s="18">
        <v>0.1125</v>
      </c>
    </row>
    <row r="80" spans="1:69" s="19" customFormat="1" ht="15">
      <c r="A80" s="21">
        <v>2217</v>
      </c>
      <c r="B80" s="2" t="s">
        <v>177</v>
      </c>
      <c r="C80" s="1">
        <v>3</v>
      </c>
      <c r="D80" s="1">
        <v>3.06</v>
      </c>
      <c r="E80" s="23">
        <v>0</v>
      </c>
      <c r="F80" s="23">
        <v>0</v>
      </c>
      <c r="G80" s="15">
        <f t="shared" si="85"/>
        <v>6.0600000000000005</v>
      </c>
      <c r="H80" s="26">
        <v>5.55</v>
      </c>
      <c r="I80" s="26">
        <v>13.75</v>
      </c>
      <c r="J80" s="26">
        <v>0</v>
      </c>
      <c r="K80" s="23">
        <v>0</v>
      </c>
      <c r="L80" s="15">
        <f t="shared" si="86"/>
        <v>19.3</v>
      </c>
      <c r="M80" s="26">
        <v>6.22</v>
      </c>
      <c r="N80" s="26">
        <v>8.91</v>
      </c>
      <c r="O80" s="26">
        <v>0</v>
      </c>
      <c r="P80" s="23">
        <v>0</v>
      </c>
      <c r="Q80" s="25">
        <f t="shared" si="116"/>
        <v>15.129999999999999</v>
      </c>
      <c r="R80" s="26">
        <v>4.54</v>
      </c>
      <c r="S80" s="26">
        <v>21.37</v>
      </c>
      <c r="T80" s="26">
        <v>0</v>
      </c>
      <c r="U80" s="23">
        <v>0</v>
      </c>
      <c r="V80" s="15">
        <f t="shared" si="112"/>
        <v>25.91</v>
      </c>
      <c r="W80" s="26">
        <v>4.66</v>
      </c>
      <c r="X80" s="26">
        <f>20.73+Y80</f>
        <v>21.580000000000002</v>
      </c>
      <c r="Y80" s="26">
        <v>0.85</v>
      </c>
      <c r="Z80" s="23">
        <v>0</v>
      </c>
      <c r="AA80" s="15">
        <f t="shared" si="113"/>
        <v>26.240000000000002</v>
      </c>
      <c r="AB80" s="1">
        <v>5.38</v>
      </c>
      <c r="AC80" s="1">
        <v>17.21</v>
      </c>
      <c r="AD80" s="1"/>
      <c r="AE80" s="23">
        <v>0</v>
      </c>
      <c r="AF80" s="15">
        <f t="shared" si="114"/>
        <v>22.59</v>
      </c>
      <c r="AG80" s="1">
        <v>6.04</v>
      </c>
      <c r="AH80" s="1">
        <v>36.14</v>
      </c>
      <c r="AI80" s="26">
        <v>1.61</v>
      </c>
      <c r="AJ80" s="23">
        <v>0</v>
      </c>
      <c r="AK80" s="15">
        <f t="shared" si="106"/>
        <v>42.18</v>
      </c>
      <c r="AL80" s="26">
        <f t="shared" si="87"/>
        <v>6.429179508014228</v>
      </c>
      <c r="AM80" s="26">
        <f t="shared" si="87"/>
        <v>40.20575</v>
      </c>
      <c r="AN80" s="26">
        <f t="shared" si="88"/>
        <v>1.791125</v>
      </c>
      <c r="AO80" s="23">
        <v>0</v>
      </c>
      <c r="AP80" s="15">
        <f t="shared" si="107"/>
        <v>46.63492950801423</v>
      </c>
      <c r="AQ80" s="26">
        <f t="shared" si="89"/>
        <v>6.843435289117562</v>
      </c>
      <c r="AR80" s="26">
        <f t="shared" si="89"/>
        <v>44.728896875000004</v>
      </c>
      <c r="AS80" s="26">
        <f t="shared" si="90"/>
        <v>1.9926265625000001</v>
      </c>
      <c r="AT80" s="23">
        <v>0</v>
      </c>
      <c r="AU80" s="15">
        <f t="shared" si="108"/>
        <v>51.57233216411757</v>
      </c>
      <c r="AV80" s="26">
        <f t="shared" si="91"/>
        <v>7.2843831002013335</v>
      </c>
      <c r="AW80" s="26">
        <f t="shared" si="91"/>
        <v>49.760897773437506</v>
      </c>
      <c r="AX80" s="26">
        <f t="shared" si="92"/>
        <v>2.21679705078125</v>
      </c>
      <c r="AY80" s="26"/>
      <c r="AZ80" s="15">
        <f t="shared" si="115"/>
        <v>57.04528087363884</v>
      </c>
      <c r="BA80" s="26">
        <f t="shared" si="93"/>
        <v>7.753742807340988</v>
      </c>
      <c r="BB80" s="26">
        <f t="shared" si="93"/>
        <v>55.35899877294923</v>
      </c>
      <c r="BC80" s="26">
        <f t="shared" si="94"/>
        <v>2.4661867189941407</v>
      </c>
      <c r="BD80" s="23">
        <v>0</v>
      </c>
      <c r="BE80" s="15">
        <f t="shared" si="109"/>
        <v>63.11274158029022</v>
      </c>
      <c r="BF80" s="26">
        <f t="shared" si="95"/>
        <v>8.25334509393533</v>
      </c>
      <c r="BG80" s="26">
        <f t="shared" si="95"/>
        <v>61.58688613490602</v>
      </c>
      <c r="BH80" s="26">
        <f t="shared" si="96"/>
        <v>2.7436327248809813</v>
      </c>
      <c r="BI80" s="23">
        <v>0</v>
      </c>
      <c r="BJ80" s="15">
        <f t="shared" si="110"/>
        <v>69.84023122884135</v>
      </c>
      <c r="BK80" s="26">
        <f t="shared" si="97"/>
        <v>8.785138601075959</v>
      </c>
      <c r="BL80" s="26">
        <f t="shared" si="97"/>
        <v>68.51541082508294</v>
      </c>
      <c r="BM80" s="26">
        <f t="shared" si="98"/>
        <v>3.0522914064300917</v>
      </c>
      <c r="BN80" s="26">
        <f t="shared" si="99"/>
        <v>0</v>
      </c>
      <c r="BO80" s="15">
        <f t="shared" si="111"/>
        <v>77.3005494261589</v>
      </c>
      <c r="BP80" s="20">
        <v>0.0644336933798391</v>
      </c>
      <c r="BQ80" s="18">
        <v>0.1125</v>
      </c>
    </row>
    <row r="81" spans="1:69" s="19" customFormat="1" ht="15">
      <c r="A81" s="21">
        <v>2220</v>
      </c>
      <c r="B81" s="2" t="s">
        <v>179</v>
      </c>
      <c r="C81" s="1">
        <v>1.64</v>
      </c>
      <c r="D81" s="1">
        <v>4.98</v>
      </c>
      <c r="E81" s="23">
        <v>0</v>
      </c>
      <c r="F81" s="23">
        <v>0</v>
      </c>
      <c r="G81" s="15">
        <f t="shared" si="85"/>
        <v>6.62</v>
      </c>
      <c r="H81" s="26">
        <v>2.4</v>
      </c>
      <c r="I81" s="26">
        <v>5.49</v>
      </c>
      <c r="J81" s="26">
        <v>0</v>
      </c>
      <c r="K81" s="23">
        <v>0</v>
      </c>
      <c r="L81" s="15">
        <f t="shared" si="86"/>
        <v>7.890000000000001</v>
      </c>
      <c r="M81" s="26">
        <v>3.27</v>
      </c>
      <c r="N81" s="26">
        <v>4.4</v>
      </c>
      <c r="O81" s="26">
        <v>0</v>
      </c>
      <c r="P81" s="23">
        <v>0</v>
      </c>
      <c r="Q81" s="25">
        <f t="shared" si="116"/>
        <v>7.67</v>
      </c>
      <c r="R81" s="26">
        <v>3.12</v>
      </c>
      <c r="S81" s="26">
        <v>2.47</v>
      </c>
      <c r="T81" s="26">
        <v>0</v>
      </c>
      <c r="U81" s="23">
        <v>0</v>
      </c>
      <c r="V81" s="15">
        <f t="shared" si="112"/>
        <v>5.59</v>
      </c>
      <c r="W81" s="26">
        <v>3.07</v>
      </c>
      <c r="X81" s="26">
        <v>2.26</v>
      </c>
      <c r="Y81" s="26">
        <v>0</v>
      </c>
      <c r="Z81" s="23">
        <v>0</v>
      </c>
      <c r="AA81" s="15">
        <f t="shared" si="113"/>
        <v>5.33</v>
      </c>
      <c r="AB81" s="1">
        <v>3.2</v>
      </c>
      <c r="AC81" s="1">
        <v>8.17</v>
      </c>
      <c r="AD81" s="1"/>
      <c r="AE81" s="23">
        <v>0</v>
      </c>
      <c r="AF81" s="15">
        <f t="shared" si="114"/>
        <v>11.370000000000001</v>
      </c>
      <c r="AG81" s="1">
        <v>3.79</v>
      </c>
      <c r="AH81" s="1">
        <v>10.41</v>
      </c>
      <c r="AI81" s="26">
        <v>0</v>
      </c>
      <c r="AJ81" s="23">
        <v>0</v>
      </c>
      <c r="AK81" s="15">
        <f t="shared" si="106"/>
        <v>14.2</v>
      </c>
      <c r="AL81" s="26">
        <f t="shared" si="87"/>
        <v>4.222431118981862</v>
      </c>
      <c r="AM81" s="26">
        <f t="shared" si="87"/>
        <v>11.581125</v>
      </c>
      <c r="AN81" s="26">
        <f t="shared" si="88"/>
        <v>0</v>
      </c>
      <c r="AO81" s="23">
        <v>0</v>
      </c>
      <c r="AP81" s="15">
        <f t="shared" si="107"/>
        <v>15.803556118981863</v>
      </c>
      <c r="AQ81" s="26">
        <f t="shared" si="89"/>
        <v>4.704201729431772</v>
      </c>
      <c r="AR81" s="26">
        <f t="shared" si="89"/>
        <v>12.8840015625</v>
      </c>
      <c r="AS81" s="26">
        <f t="shared" si="90"/>
        <v>0</v>
      </c>
      <c r="AT81" s="23">
        <v>0</v>
      </c>
      <c r="AU81" s="15">
        <f t="shared" si="108"/>
        <v>17.588203291931773</v>
      </c>
      <c r="AV81" s="26">
        <f t="shared" si="91"/>
        <v>5.2409413647284975</v>
      </c>
      <c r="AW81" s="26">
        <f t="shared" si="91"/>
        <v>14.33345173828125</v>
      </c>
      <c r="AX81" s="26">
        <f t="shared" si="92"/>
        <v>0</v>
      </c>
      <c r="AY81" s="26"/>
      <c r="AZ81" s="15">
        <f t="shared" si="115"/>
        <v>19.574393103009747</v>
      </c>
      <c r="BA81" s="26">
        <f t="shared" si="93"/>
        <v>5.838921876303133</v>
      </c>
      <c r="BB81" s="26">
        <f t="shared" si="93"/>
        <v>15.94596505883789</v>
      </c>
      <c r="BC81" s="26">
        <f t="shared" si="94"/>
        <v>0</v>
      </c>
      <c r="BD81" s="23">
        <v>0</v>
      </c>
      <c r="BE81" s="15">
        <f t="shared" si="109"/>
        <v>21.784886935141024</v>
      </c>
      <c r="BF81" s="26">
        <f t="shared" si="95"/>
        <v>6.505130720793222</v>
      </c>
      <c r="BG81" s="26">
        <f t="shared" si="95"/>
        <v>17.739886127957153</v>
      </c>
      <c r="BH81" s="26">
        <f t="shared" si="96"/>
        <v>0</v>
      </c>
      <c r="BI81" s="23">
        <v>0</v>
      </c>
      <c r="BJ81" s="15">
        <f t="shared" si="110"/>
        <v>24.245016848750375</v>
      </c>
      <c r="BK81" s="26">
        <f t="shared" si="97"/>
        <v>7.247352609108762</v>
      </c>
      <c r="BL81" s="26">
        <f t="shared" si="97"/>
        <v>19.73562331735233</v>
      </c>
      <c r="BM81" s="26">
        <f t="shared" si="98"/>
        <v>0</v>
      </c>
      <c r="BN81" s="26">
        <f t="shared" si="99"/>
        <v>0</v>
      </c>
      <c r="BO81" s="15">
        <f t="shared" si="111"/>
        <v>26.982975926461094</v>
      </c>
      <c r="BP81" s="20">
        <v>0.11409792057568907</v>
      </c>
      <c r="BQ81" s="18">
        <v>0.1125</v>
      </c>
    </row>
    <row r="82" spans="1:69" s="19" customFormat="1" ht="15">
      <c r="A82" s="21">
        <v>2225</v>
      </c>
      <c r="B82" s="2" t="s">
        <v>180</v>
      </c>
      <c r="C82" s="1">
        <v>2.8</v>
      </c>
      <c r="D82" s="1">
        <f>8.13+E82</f>
        <v>10.89</v>
      </c>
      <c r="E82" s="1">
        <v>2.76</v>
      </c>
      <c r="F82" s="23">
        <v>0</v>
      </c>
      <c r="G82" s="15">
        <f t="shared" si="85"/>
        <v>13.690000000000001</v>
      </c>
      <c r="H82" s="26">
        <v>2.92</v>
      </c>
      <c r="I82" s="26">
        <f>9.48+J82</f>
        <v>13.55</v>
      </c>
      <c r="J82" s="26">
        <v>4.07</v>
      </c>
      <c r="K82" s="23">
        <v>0</v>
      </c>
      <c r="L82" s="15">
        <f t="shared" si="86"/>
        <v>16.47</v>
      </c>
      <c r="M82" s="26">
        <v>3.71</v>
      </c>
      <c r="N82" s="26">
        <f>12.42+O82</f>
        <v>13.44</v>
      </c>
      <c r="O82" s="26">
        <v>1.02</v>
      </c>
      <c r="P82" s="23">
        <v>0</v>
      </c>
      <c r="Q82" s="25">
        <f t="shared" si="116"/>
        <v>17.15</v>
      </c>
      <c r="R82" s="26">
        <v>3.46</v>
      </c>
      <c r="S82" s="26">
        <f>2.08+T82</f>
        <v>9.85</v>
      </c>
      <c r="T82" s="26">
        <v>7.77</v>
      </c>
      <c r="U82" s="23">
        <v>0</v>
      </c>
      <c r="V82" s="15">
        <f t="shared" si="112"/>
        <v>13.309999999999999</v>
      </c>
      <c r="W82" s="26">
        <v>3.92</v>
      </c>
      <c r="X82" s="26">
        <f>7.46+Y82</f>
        <v>15.2</v>
      </c>
      <c r="Y82" s="26">
        <v>7.74</v>
      </c>
      <c r="Z82" s="23">
        <v>0</v>
      </c>
      <c r="AA82" s="15">
        <f t="shared" si="113"/>
        <v>19.119999999999997</v>
      </c>
      <c r="AB82" s="1">
        <v>4.4</v>
      </c>
      <c r="AC82" s="1">
        <v>40.21</v>
      </c>
      <c r="AD82" s="1"/>
      <c r="AE82" s="23">
        <v>0</v>
      </c>
      <c r="AF82" s="15">
        <f t="shared" si="114"/>
        <v>44.61</v>
      </c>
      <c r="AG82" s="1">
        <v>4.49</v>
      </c>
      <c r="AH82" s="1">
        <v>28.67</v>
      </c>
      <c r="AI82" s="1">
        <f>11.4+5.61</f>
        <v>17.01</v>
      </c>
      <c r="AJ82" s="23">
        <v>0</v>
      </c>
      <c r="AK82" s="15">
        <f t="shared" si="106"/>
        <v>33.160000000000004</v>
      </c>
      <c r="AL82" s="26">
        <f t="shared" si="87"/>
        <v>4.872965844077228</v>
      </c>
      <c r="AM82" s="26">
        <f t="shared" si="87"/>
        <v>31.895375</v>
      </c>
      <c r="AN82" s="26">
        <f t="shared" si="88"/>
        <v>18.923625</v>
      </c>
      <c r="AO82" s="23">
        <v>0</v>
      </c>
      <c r="AP82" s="15">
        <f t="shared" si="107"/>
        <v>36.76834084407723</v>
      </c>
      <c r="AQ82" s="26">
        <f t="shared" si="89"/>
        <v>5.288596017270221</v>
      </c>
      <c r="AR82" s="26">
        <f t="shared" si="89"/>
        <v>35.483604687500005</v>
      </c>
      <c r="AS82" s="26">
        <f t="shared" si="90"/>
        <v>21.0525328125</v>
      </c>
      <c r="AT82" s="23">
        <v>0</v>
      </c>
      <c r="AU82" s="15">
        <f t="shared" si="108"/>
        <v>40.77220070477023</v>
      </c>
      <c r="AV82" s="26">
        <f t="shared" si="91"/>
        <v>5.739676560196136</v>
      </c>
      <c r="AW82" s="26">
        <f t="shared" si="91"/>
        <v>39.47551021484376</v>
      </c>
      <c r="AX82" s="26">
        <f t="shared" si="92"/>
        <v>23.42094275390625</v>
      </c>
      <c r="AY82" s="26"/>
      <c r="AZ82" s="15">
        <f t="shared" si="115"/>
        <v>45.215186775039896</v>
      </c>
      <c r="BA82" s="26">
        <f t="shared" si="93"/>
        <v>6.2292311434045535</v>
      </c>
      <c r="BB82" s="26">
        <f t="shared" si="93"/>
        <v>43.91650511401368</v>
      </c>
      <c r="BC82" s="26">
        <f t="shared" si="94"/>
        <v>26.055798813720703</v>
      </c>
      <c r="BD82" s="23">
        <v>0</v>
      </c>
      <c r="BE82" s="15">
        <f t="shared" si="109"/>
        <v>50.145736257418235</v>
      </c>
      <c r="BF82" s="26">
        <f t="shared" si="95"/>
        <v>6.76054133556181</v>
      </c>
      <c r="BG82" s="26">
        <f t="shared" si="95"/>
        <v>48.85711193934022</v>
      </c>
      <c r="BH82" s="26">
        <f t="shared" si="96"/>
        <v>28.987076180264282</v>
      </c>
      <c r="BI82" s="23">
        <v>0</v>
      </c>
      <c r="BJ82" s="15">
        <f t="shared" si="110"/>
        <v>55.61765327490203</v>
      </c>
      <c r="BK82" s="26">
        <f t="shared" si="97"/>
        <v>7.337168600370813</v>
      </c>
      <c r="BL82" s="26">
        <f t="shared" si="97"/>
        <v>54.353537032515995</v>
      </c>
      <c r="BM82" s="26">
        <f t="shared" si="98"/>
        <v>32.248122250544014</v>
      </c>
      <c r="BN82" s="26">
        <f t="shared" si="99"/>
        <v>0</v>
      </c>
      <c r="BO82" s="15">
        <f t="shared" si="111"/>
        <v>61.690705632886804</v>
      </c>
      <c r="BP82" s="20">
        <v>0.08529306104169891</v>
      </c>
      <c r="BQ82" s="18">
        <v>0.1125</v>
      </c>
    </row>
    <row r="83" spans="1:69" s="19" customFormat="1" ht="15">
      <c r="A83" s="21">
        <v>2230</v>
      </c>
      <c r="B83" s="2" t="s">
        <v>70</v>
      </c>
      <c r="C83" s="1">
        <v>0.93</v>
      </c>
      <c r="D83" s="1">
        <f>1.33+E83</f>
        <v>1.35</v>
      </c>
      <c r="E83" s="1">
        <v>0.02</v>
      </c>
      <c r="F83" s="23">
        <v>0</v>
      </c>
      <c r="G83" s="15">
        <f t="shared" si="85"/>
        <v>2.2800000000000002</v>
      </c>
      <c r="H83" s="26">
        <v>0.99</v>
      </c>
      <c r="I83" s="26">
        <f>1.95+J83</f>
        <v>2.06</v>
      </c>
      <c r="J83" s="26">
        <v>0.11</v>
      </c>
      <c r="K83" s="23">
        <v>0</v>
      </c>
      <c r="L83" s="15">
        <f t="shared" si="86"/>
        <v>3.05</v>
      </c>
      <c r="M83" s="26">
        <v>1.8</v>
      </c>
      <c r="N83" s="26">
        <f>1.53+O83</f>
        <v>1.61</v>
      </c>
      <c r="O83" s="26">
        <v>0.08</v>
      </c>
      <c r="P83" s="23">
        <v>0</v>
      </c>
      <c r="Q83" s="25">
        <f t="shared" si="116"/>
        <v>3.41</v>
      </c>
      <c r="R83" s="26">
        <v>1.8</v>
      </c>
      <c r="S83" s="26">
        <v>1.78</v>
      </c>
      <c r="T83" s="26">
        <v>0</v>
      </c>
      <c r="U83" s="23">
        <v>0</v>
      </c>
      <c r="V83" s="15">
        <f t="shared" si="112"/>
        <v>3.58</v>
      </c>
      <c r="W83" s="26">
        <v>2.06</v>
      </c>
      <c r="X83" s="26">
        <f>1.52+Y83</f>
        <v>1.58</v>
      </c>
      <c r="Y83" s="26">
        <v>0.06</v>
      </c>
      <c r="Z83" s="23">
        <v>0</v>
      </c>
      <c r="AA83" s="15">
        <f t="shared" si="113"/>
        <v>3.64</v>
      </c>
      <c r="AB83" s="1">
        <v>3.78</v>
      </c>
      <c r="AC83" s="1">
        <v>2.76</v>
      </c>
      <c r="AD83" s="1"/>
      <c r="AE83" s="23">
        <v>0</v>
      </c>
      <c r="AF83" s="15">
        <f t="shared" si="114"/>
        <v>6.539999999999999</v>
      </c>
      <c r="AG83" s="1">
        <v>3.3</v>
      </c>
      <c r="AH83" s="1">
        <v>4.72</v>
      </c>
      <c r="AI83" s="1"/>
      <c r="AJ83" s="23">
        <v>0</v>
      </c>
      <c r="AK83" s="15">
        <f t="shared" si="106"/>
        <v>8.02</v>
      </c>
      <c r="AL83" s="26">
        <f t="shared" si="87"/>
        <v>4.179262848407799</v>
      </c>
      <c r="AM83" s="26">
        <f t="shared" si="87"/>
        <v>5.2509999999999994</v>
      </c>
      <c r="AN83" s="26">
        <f t="shared" si="88"/>
        <v>0</v>
      </c>
      <c r="AO83" s="23">
        <v>0</v>
      </c>
      <c r="AP83" s="15">
        <f t="shared" si="107"/>
        <v>9.430262848407798</v>
      </c>
      <c r="AQ83" s="26">
        <f t="shared" si="89"/>
        <v>5.292799380630808</v>
      </c>
      <c r="AR83" s="26">
        <f t="shared" si="89"/>
        <v>5.841737499999999</v>
      </c>
      <c r="AS83" s="26">
        <f t="shared" si="90"/>
        <v>0</v>
      </c>
      <c r="AT83" s="23">
        <v>0</v>
      </c>
      <c r="AU83" s="15">
        <f t="shared" si="108"/>
        <v>11.134536880630808</v>
      </c>
      <c r="AV83" s="26">
        <f t="shared" si="91"/>
        <v>6.703030247135196</v>
      </c>
      <c r="AW83" s="26">
        <f t="shared" si="91"/>
        <v>6.498932968749999</v>
      </c>
      <c r="AX83" s="26">
        <f t="shared" si="92"/>
        <v>0</v>
      </c>
      <c r="AY83" s="26"/>
      <c r="AZ83" s="15">
        <f t="shared" si="115"/>
        <v>13.201963215885195</v>
      </c>
      <c r="BA83" s="26">
        <f t="shared" si="93"/>
        <v>8.489007661698748</v>
      </c>
      <c r="BB83" s="26">
        <f t="shared" si="93"/>
        <v>7.230062927734374</v>
      </c>
      <c r="BC83" s="26">
        <f t="shared" si="94"/>
        <v>0</v>
      </c>
      <c r="BD83" s="23">
        <v>0</v>
      </c>
      <c r="BE83" s="15">
        <f t="shared" si="109"/>
        <v>15.719070589433123</v>
      </c>
      <c r="BF83" s="26">
        <f t="shared" si="95"/>
        <v>10.750846769814164</v>
      </c>
      <c r="BG83" s="26">
        <f t="shared" si="95"/>
        <v>8.043445007104491</v>
      </c>
      <c r="BH83" s="26">
        <f t="shared" si="96"/>
        <v>0</v>
      </c>
      <c r="BI83" s="23">
        <v>0</v>
      </c>
      <c r="BJ83" s="15">
        <f t="shared" si="110"/>
        <v>18.794291776918655</v>
      </c>
      <c r="BK83" s="26">
        <f t="shared" si="97"/>
        <v>13.61533772545737</v>
      </c>
      <c r="BL83" s="26">
        <f t="shared" si="97"/>
        <v>8.948332570403746</v>
      </c>
      <c r="BM83" s="26">
        <f t="shared" si="98"/>
        <v>0</v>
      </c>
      <c r="BN83" s="26">
        <f t="shared" si="99"/>
        <v>0</v>
      </c>
      <c r="BO83" s="15">
        <f t="shared" si="111"/>
        <v>22.563670295861115</v>
      </c>
      <c r="BP83" s="20">
        <v>0.2664432873963027</v>
      </c>
      <c r="BQ83" s="18">
        <v>0.1125</v>
      </c>
    </row>
    <row r="84" spans="1:69" s="19" customFormat="1" ht="30">
      <c r="A84" s="21">
        <v>2235</v>
      </c>
      <c r="B84" s="2" t="s">
        <v>245</v>
      </c>
      <c r="C84" s="1">
        <v>2.9</v>
      </c>
      <c r="D84" s="1">
        <f>11.7+E84</f>
        <v>16.02</v>
      </c>
      <c r="E84" s="1">
        <v>4.32</v>
      </c>
      <c r="F84" s="23">
        <v>0</v>
      </c>
      <c r="G84" s="15">
        <f t="shared" si="85"/>
        <v>18.919999999999998</v>
      </c>
      <c r="H84" s="26">
        <v>3.44</v>
      </c>
      <c r="I84" s="26">
        <f>16.25+J84</f>
        <v>21.56</v>
      </c>
      <c r="J84" s="26">
        <v>5.31</v>
      </c>
      <c r="K84" s="23">
        <v>0</v>
      </c>
      <c r="L84" s="15">
        <f t="shared" si="86"/>
        <v>25</v>
      </c>
      <c r="M84" s="26">
        <v>4.63</v>
      </c>
      <c r="N84" s="26">
        <f>16.83+O84</f>
        <v>23.88</v>
      </c>
      <c r="O84" s="26">
        <v>7.05</v>
      </c>
      <c r="P84" s="23">
        <v>0</v>
      </c>
      <c r="Q84" s="25">
        <f t="shared" si="116"/>
        <v>28.509999999999998</v>
      </c>
      <c r="R84" s="26">
        <v>3.89</v>
      </c>
      <c r="S84" s="26">
        <f>10.91+T84</f>
        <v>18.13</v>
      </c>
      <c r="T84" s="26">
        <v>7.22</v>
      </c>
      <c r="U84" s="23">
        <v>0</v>
      </c>
      <c r="V84" s="15">
        <f t="shared" si="112"/>
        <v>22.02</v>
      </c>
      <c r="W84" s="26">
        <v>17.95</v>
      </c>
      <c r="X84" s="26">
        <f>16.28+Y84</f>
        <v>28.55</v>
      </c>
      <c r="Y84" s="26">
        <v>12.27</v>
      </c>
      <c r="Z84" s="23">
        <v>0</v>
      </c>
      <c r="AA84" s="15">
        <f t="shared" si="113"/>
        <v>46.5</v>
      </c>
      <c r="AB84" s="1">
        <v>7.58</v>
      </c>
      <c r="AC84" s="1">
        <v>39.72</v>
      </c>
      <c r="AD84" s="26">
        <v>0</v>
      </c>
      <c r="AE84" s="23">
        <v>0</v>
      </c>
      <c r="AF84" s="15">
        <f t="shared" si="114"/>
        <v>47.3</v>
      </c>
      <c r="AG84" s="1">
        <v>7.63</v>
      </c>
      <c r="AH84" s="1">
        <v>46.07</v>
      </c>
      <c r="AI84" s="26">
        <v>20.2</v>
      </c>
      <c r="AJ84" s="23">
        <v>0</v>
      </c>
      <c r="AK84" s="15">
        <f t="shared" si="106"/>
        <v>53.7</v>
      </c>
      <c r="AL84" s="26">
        <f t="shared" si="87"/>
        <v>9.398602322864903</v>
      </c>
      <c r="AM84" s="26">
        <f t="shared" si="87"/>
        <v>51.252875</v>
      </c>
      <c r="AN84" s="26">
        <f t="shared" si="88"/>
        <v>22.4725</v>
      </c>
      <c r="AO84" s="23">
        <v>0</v>
      </c>
      <c r="AP84" s="15">
        <f t="shared" si="107"/>
        <v>60.651477322864906</v>
      </c>
      <c r="AQ84" s="26">
        <f t="shared" si="89"/>
        <v>11.577159321541489</v>
      </c>
      <c r="AR84" s="26">
        <f t="shared" si="89"/>
        <v>57.018823437500004</v>
      </c>
      <c r="AS84" s="26">
        <f t="shared" si="90"/>
        <v>25.00065625</v>
      </c>
      <c r="AT84" s="23">
        <v>0</v>
      </c>
      <c r="AU84" s="15">
        <f t="shared" si="108"/>
        <v>68.59598275904149</v>
      </c>
      <c r="AV84" s="26">
        <f t="shared" si="91"/>
        <v>14.260696787892124</v>
      </c>
      <c r="AW84" s="26">
        <f t="shared" si="91"/>
        <v>63.433441074218756</v>
      </c>
      <c r="AX84" s="26">
        <f t="shared" si="92"/>
        <v>27.813230078125</v>
      </c>
      <c r="AY84" s="26"/>
      <c r="AZ84" s="15">
        <f t="shared" si="115"/>
        <v>77.69413786211088</v>
      </c>
      <c r="BA84" s="26">
        <f t="shared" si="93"/>
        <v>17.56626709781848</v>
      </c>
      <c r="BB84" s="26">
        <f t="shared" si="93"/>
        <v>70.56970319506837</v>
      </c>
      <c r="BC84" s="26">
        <f t="shared" si="94"/>
        <v>30.94221846191406</v>
      </c>
      <c r="BD84" s="23">
        <v>0</v>
      </c>
      <c r="BE84" s="15">
        <f t="shared" si="109"/>
        <v>88.13597029288685</v>
      </c>
      <c r="BF84" s="26">
        <f t="shared" si="95"/>
        <v>21.638054881995032</v>
      </c>
      <c r="BG84" s="26">
        <f t="shared" si="95"/>
        <v>78.50879480451356</v>
      </c>
      <c r="BH84" s="26">
        <f t="shared" si="96"/>
        <v>34.42321803887939</v>
      </c>
      <c r="BI84" s="23">
        <v>0</v>
      </c>
      <c r="BJ84" s="15">
        <f t="shared" si="110"/>
        <v>100.14684968650859</v>
      </c>
      <c r="BK84" s="26">
        <f t="shared" si="97"/>
        <v>26.65366616988162</v>
      </c>
      <c r="BL84" s="26">
        <f t="shared" si="97"/>
        <v>87.34103422002133</v>
      </c>
      <c r="BM84" s="26">
        <f t="shared" si="98"/>
        <v>38.29583006825332</v>
      </c>
      <c r="BN84" s="26">
        <f t="shared" si="99"/>
        <v>0</v>
      </c>
      <c r="BO84" s="15">
        <f t="shared" si="111"/>
        <v>113.99470038990295</v>
      </c>
      <c r="BP84" s="20">
        <v>0.23179584834402406</v>
      </c>
      <c r="BQ84" s="18">
        <v>0.1125</v>
      </c>
    </row>
    <row r="85" spans="1:69" s="19" customFormat="1" ht="15">
      <c r="A85" s="33" t="s">
        <v>49</v>
      </c>
      <c r="B85" s="2" t="s">
        <v>71</v>
      </c>
      <c r="C85" s="31">
        <v>0</v>
      </c>
      <c r="D85" s="31">
        <v>0</v>
      </c>
      <c r="E85" s="31">
        <v>0</v>
      </c>
      <c r="F85" s="23">
        <v>0</v>
      </c>
      <c r="G85" s="15">
        <f t="shared" si="85"/>
        <v>0</v>
      </c>
      <c r="H85" s="26">
        <v>0</v>
      </c>
      <c r="I85" s="26">
        <v>0</v>
      </c>
      <c r="J85" s="26">
        <v>0</v>
      </c>
      <c r="K85" s="23">
        <v>0</v>
      </c>
      <c r="L85" s="15">
        <f t="shared" si="86"/>
        <v>0</v>
      </c>
      <c r="M85" s="26">
        <v>0</v>
      </c>
      <c r="N85" s="26">
        <v>0</v>
      </c>
      <c r="O85" s="26">
        <v>0</v>
      </c>
      <c r="P85" s="23">
        <v>0</v>
      </c>
      <c r="Q85" s="25">
        <f t="shared" si="116"/>
        <v>0</v>
      </c>
      <c r="R85" s="26">
        <v>0</v>
      </c>
      <c r="S85" s="26">
        <v>0</v>
      </c>
      <c r="T85" s="26">
        <v>0</v>
      </c>
      <c r="U85" s="23">
        <v>0</v>
      </c>
      <c r="V85" s="15">
        <f t="shared" si="112"/>
        <v>0</v>
      </c>
      <c r="W85" s="26">
        <v>0</v>
      </c>
      <c r="X85" s="26">
        <v>0</v>
      </c>
      <c r="Y85" s="26">
        <v>0</v>
      </c>
      <c r="Z85" s="23">
        <v>0</v>
      </c>
      <c r="AA85" s="15">
        <f t="shared" si="113"/>
        <v>0</v>
      </c>
      <c r="AB85" s="1"/>
      <c r="AC85" s="1"/>
      <c r="AD85" s="26">
        <v>0</v>
      </c>
      <c r="AE85" s="23">
        <v>0</v>
      </c>
      <c r="AF85" s="15">
        <f t="shared" si="114"/>
        <v>0</v>
      </c>
      <c r="AG85" s="26">
        <v>0</v>
      </c>
      <c r="AH85" s="26">
        <v>0</v>
      </c>
      <c r="AI85" s="26">
        <v>0</v>
      </c>
      <c r="AJ85" s="23">
        <v>0</v>
      </c>
      <c r="AK85" s="15">
        <f t="shared" si="106"/>
        <v>0</v>
      </c>
      <c r="AL85" s="26">
        <f t="shared" si="87"/>
        <v>0</v>
      </c>
      <c r="AM85" s="26">
        <f t="shared" si="87"/>
        <v>0</v>
      </c>
      <c r="AN85" s="26">
        <f t="shared" si="88"/>
        <v>0</v>
      </c>
      <c r="AO85" s="23">
        <v>0</v>
      </c>
      <c r="AP85" s="15">
        <f t="shared" si="107"/>
        <v>0</v>
      </c>
      <c r="AQ85" s="26">
        <f t="shared" si="89"/>
        <v>0</v>
      </c>
      <c r="AR85" s="26">
        <f t="shared" si="89"/>
        <v>0</v>
      </c>
      <c r="AS85" s="26">
        <f t="shared" si="90"/>
        <v>0</v>
      </c>
      <c r="AT85" s="23">
        <v>0</v>
      </c>
      <c r="AU85" s="15">
        <f t="shared" si="108"/>
        <v>0</v>
      </c>
      <c r="AV85" s="26">
        <f t="shared" si="91"/>
        <v>0</v>
      </c>
      <c r="AW85" s="26">
        <f t="shared" si="91"/>
        <v>0</v>
      </c>
      <c r="AX85" s="26">
        <f t="shared" si="92"/>
        <v>0</v>
      </c>
      <c r="AY85" s="26"/>
      <c r="AZ85" s="15">
        <f t="shared" si="115"/>
        <v>0</v>
      </c>
      <c r="BA85" s="26">
        <f t="shared" si="93"/>
        <v>0</v>
      </c>
      <c r="BB85" s="26">
        <f t="shared" si="93"/>
        <v>0</v>
      </c>
      <c r="BC85" s="26">
        <f t="shared" si="94"/>
        <v>0</v>
      </c>
      <c r="BD85" s="23">
        <v>0</v>
      </c>
      <c r="BE85" s="15">
        <f t="shared" si="109"/>
        <v>0</v>
      </c>
      <c r="BF85" s="26">
        <f t="shared" si="95"/>
        <v>0</v>
      </c>
      <c r="BG85" s="26">
        <f t="shared" si="95"/>
        <v>0</v>
      </c>
      <c r="BH85" s="26">
        <f t="shared" si="96"/>
        <v>0</v>
      </c>
      <c r="BI85" s="23">
        <v>0</v>
      </c>
      <c r="BJ85" s="15">
        <f t="shared" si="110"/>
        <v>0</v>
      </c>
      <c r="BK85" s="26">
        <f t="shared" si="97"/>
        <v>0</v>
      </c>
      <c r="BL85" s="26">
        <f t="shared" si="97"/>
        <v>0</v>
      </c>
      <c r="BM85" s="26">
        <f t="shared" si="98"/>
        <v>0</v>
      </c>
      <c r="BN85" s="26">
        <f t="shared" si="99"/>
        <v>0</v>
      </c>
      <c r="BO85" s="15">
        <f t="shared" si="111"/>
        <v>0</v>
      </c>
      <c r="BP85" s="20"/>
      <c r="BQ85" s="18"/>
    </row>
    <row r="86" spans="1:69" s="19" customFormat="1" ht="15">
      <c r="A86" s="33" t="s">
        <v>51</v>
      </c>
      <c r="B86" s="2" t="s">
        <v>72</v>
      </c>
      <c r="C86" s="31">
        <v>0.67</v>
      </c>
      <c r="D86" s="31">
        <f>6.65+E86</f>
        <v>10.97</v>
      </c>
      <c r="E86" s="31">
        <v>4.32</v>
      </c>
      <c r="F86" s="23">
        <v>0</v>
      </c>
      <c r="G86" s="15">
        <f t="shared" si="85"/>
        <v>11.64</v>
      </c>
      <c r="H86" s="26">
        <v>1.11</v>
      </c>
      <c r="I86" s="26">
        <f>9.5+J86</f>
        <v>14.809999999999999</v>
      </c>
      <c r="J86" s="26">
        <v>5.31</v>
      </c>
      <c r="K86" s="23">
        <v>0</v>
      </c>
      <c r="L86" s="15">
        <f t="shared" si="86"/>
        <v>15.919999999999998</v>
      </c>
      <c r="M86" s="26">
        <v>1.47</v>
      </c>
      <c r="N86" s="26">
        <f>9.48+O86</f>
        <v>16.53</v>
      </c>
      <c r="O86" s="26">
        <v>7.05</v>
      </c>
      <c r="P86" s="23">
        <v>0</v>
      </c>
      <c r="Q86" s="25">
        <f t="shared" si="116"/>
        <v>18</v>
      </c>
      <c r="R86" s="26">
        <v>0.98</v>
      </c>
      <c r="S86" s="26">
        <f>6.52+T86</f>
        <v>13.739999999999998</v>
      </c>
      <c r="T86" s="26">
        <v>7.22</v>
      </c>
      <c r="U86" s="23">
        <v>0</v>
      </c>
      <c r="V86" s="15">
        <f t="shared" si="112"/>
        <v>14.719999999999999</v>
      </c>
      <c r="W86" s="26">
        <v>6.44</v>
      </c>
      <c r="X86" s="26">
        <f>10.86+Y86</f>
        <v>23.13</v>
      </c>
      <c r="Y86" s="26">
        <v>12.27</v>
      </c>
      <c r="Z86" s="23">
        <v>0</v>
      </c>
      <c r="AA86" s="15">
        <f t="shared" si="113"/>
        <v>29.57</v>
      </c>
      <c r="AB86" s="1">
        <v>2.73</v>
      </c>
      <c r="AC86" s="1">
        <v>29.51</v>
      </c>
      <c r="AD86" s="26">
        <f>12.1+1.66+(4.03/0.5)+0.01</f>
        <v>21.830000000000002</v>
      </c>
      <c r="AE86" s="23">
        <v>0</v>
      </c>
      <c r="AF86" s="15">
        <f t="shared" si="114"/>
        <v>32.24</v>
      </c>
      <c r="AG86" s="1">
        <v>2.78</v>
      </c>
      <c r="AH86" s="1">
        <v>35.56</v>
      </c>
      <c r="AI86" s="26">
        <f>13.02+1.81+(3.85/2)+0.02</f>
        <v>16.775</v>
      </c>
      <c r="AJ86" s="23">
        <v>0</v>
      </c>
      <c r="AK86" s="15">
        <f t="shared" si="106"/>
        <v>38.34</v>
      </c>
      <c r="AL86" s="26">
        <f t="shared" si="87"/>
        <v>3.6398723031722207</v>
      </c>
      <c r="AM86" s="26">
        <f t="shared" si="87"/>
        <v>39.560500000000005</v>
      </c>
      <c r="AN86" s="26">
        <f t="shared" si="88"/>
        <v>18.662187499999998</v>
      </c>
      <c r="AO86" s="23">
        <v>0</v>
      </c>
      <c r="AP86" s="15">
        <f t="shared" si="107"/>
        <v>43.20037230317222</v>
      </c>
      <c r="AQ86" s="26">
        <f t="shared" si="89"/>
        <v>4.765708771007283</v>
      </c>
      <c r="AR86" s="26">
        <f t="shared" si="89"/>
        <v>44.01105625</v>
      </c>
      <c r="AS86" s="26">
        <f t="shared" si="90"/>
        <v>20.76168359375</v>
      </c>
      <c r="AT86" s="23">
        <v>0</v>
      </c>
      <c r="AU86" s="15">
        <f t="shared" si="108"/>
        <v>48.776765021007286</v>
      </c>
      <c r="AV86" s="26">
        <f t="shared" si="91"/>
        <v>6.2397738707101915</v>
      </c>
      <c r="AW86" s="26">
        <f t="shared" si="91"/>
        <v>48.962300078125004</v>
      </c>
      <c r="AX86" s="26">
        <f t="shared" si="92"/>
        <v>23.097372998046875</v>
      </c>
      <c r="AY86" s="26"/>
      <c r="AZ86" s="15">
        <f t="shared" si="115"/>
        <v>55.20207394883519</v>
      </c>
      <c r="BA86" s="26">
        <f t="shared" si="93"/>
        <v>8.16977701081142</v>
      </c>
      <c r="BB86" s="26">
        <f t="shared" si="93"/>
        <v>54.470558836914066</v>
      </c>
      <c r="BC86" s="26">
        <f t="shared" si="94"/>
        <v>25.69582746032715</v>
      </c>
      <c r="BD86" s="23">
        <v>0</v>
      </c>
      <c r="BE86" s="15">
        <f t="shared" si="109"/>
        <v>62.64033584772548</v>
      </c>
      <c r="BF86" s="26">
        <f t="shared" si="95"/>
        <v>10.696742829045188</v>
      </c>
      <c r="BG86" s="26">
        <f t="shared" si="95"/>
        <v>60.598496706066896</v>
      </c>
      <c r="BH86" s="26">
        <f t="shared" si="96"/>
        <v>28.586608049613954</v>
      </c>
      <c r="BI86" s="23">
        <v>0</v>
      </c>
      <c r="BJ86" s="15">
        <f t="shared" si="110"/>
        <v>71.29523953511209</v>
      </c>
      <c r="BK86" s="26">
        <f t="shared" si="97"/>
        <v>14.005315812085485</v>
      </c>
      <c r="BL86" s="26">
        <f t="shared" si="97"/>
        <v>67.41582758549943</v>
      </c>
      <c r="BM86" s="26">
        <f t="shared" si="98"/>
        <v>31.802601455195525</v>
      </c>
      <c r="BN86" s="26">
        <f t="shared" si="99"/>
        <v>0</v>
      </c>
      <c r="BO86" s="15">
        <f t="shared" si="111"/>
        <v>81.42114339758491</v>
      </c>
      <c r="BP86" s="20">
        <v>0.30930658387489957</v>
      </c>
      <c r="BQ86" s="18">
        <v>0.1125</v>
      </c>
    </row>
    <row r="87" spans="1:69" s="19" customFormat="1" ht="30">
      <c r="A87" s="21">
        <v>102</v>
      </c>
      <c r="B87" s="2" t="s">
        <v>181</v>
      </c>
      <c r="C87" s="43">
        <v>0</v>
      </c>
      <c r="D87" s="43">
        <v>0</v>
      </c>
      <c r="E87" s="43">
        <v>0</v>
      </c>
      <c r="F87" s="23">
        <v>0</v>
      </c>
      <c r="G87" s="15">
        <f t="shared" si="85"/>
        <v>0</v>
      </c>
      <c r="H87" s="26">
        <v>0</v>
      </c>
      <c r="I87" s="26">
        <f>23.92+J87</f>
        <v>29.080000000000002</v>
      </c>
      <c r="J87" s="26">
        <v>5.16</v>
      </c>
      <c r="K87" s="23">
        <v>0</v>
      </c>
      <c r="L87" s="15">
        <f t="shared" si="86"/>
        <v>29.080000000000002</v>
      </c>
      <c r="M87" s="26">
        <v>0</v>
      </c>
      <c r="N87" s="26">
        <f>0.25+O87</f>
        <v>7.24</v>
      </c>
      <c r="O87" s="26">
        <v>6.99</v>
      </c>
      <c r="P87" s="23">
        <v>0</v>
      </c>
      <c r="Q87" s="25">
        <f t="shared" si="116"/>
        <v>7.24</v>
      </c>
      <c r="R87" s="26">
        <v>0</v>
      </c>
      <c r="S87" s="26">
        <f>0.12+T87</f>
        <v>7.22</v>
      </c>
      <c r="T87" s="26">
        <v>7.1</v>
      </c>
      <c r="U87" s="23">
        <v>0</v>
      </c>
      <c r="V87" s="15">
        <f t="shared" si="112"/>
        <v>7.22</v>
      </c>
      <c r="W87" s="26">
        <v>0.02</v>
      </c>
      <c r="X87" s="26">
        <f>1.88+Y87</f>
        <v>13.780000000000001</v>
      </c>
      <c r="Y87" s="26">
        <v>11.9</v>
      </c>
      <c r="Z87" s="23">
        <v>0</v>
      </c>
      <c r="AA87" s="15">
        <f t="shared" si="113"/>
        <v>13.8</v>
      </c>
      <c r="AB87" s="1">
        <v>0.14</v>
      </c>
      <c r="AC87" s="1">
        <v>19.08</v>
      </c>
      <c r="AD87" s="26">
        <f>12.1+(1.66*0.75)</f>
        <v>13.344999999999999</v>
      </c>
      <c r="AE87" s="23">
        <v>0</v>
      </c>
      <c r="AF87" s="15">
        <f t="shared" si="114"/>
        <v>19.22</v>
      </c>
      <c r="AG87" s="1">
        <v>0.14</v>
      </c>
      <c r="AH87" s="1">
        <v>20.9</v>
      </c>
      <c r="AI87" s="26">
        <f>13.02+1.81</f>
        <v>14.83</v>
      </c>
      <c r="AJ87" s="23">
        <v>0</v>
      </c>
      <c r="AK87" s="15">
        <f t="shared" si="106"/>
        <v>21.04</v>
      </c>
      <c r="AL87" s="26">
        <f t="shared" si="87"/>
        <v>0.14</v>
      </c>
      <c r="AM87" s="26">
        <f t="shared" si="87"/>
        <v>23.25125</v>
      </c>
      <c r="AN87" s="26">
        <f t="shared" si="88"/>
        <v>16.498375</v>
      </c>
      <c r="AO87" s="23">
        <v>0</v>
      </c>
      <c r="AP87" s="15">
        <f t="shared" si="107"/>
        <v>23.39125</v>
      </c>
      <c r="AQ87" s="26">
        <f t="shared" si="89"/>
        <v>0.14</v>
      </c>
      <c r="AR87" s="26">
        <f t="shared" si="89"/>
        <v>25.867015625</v>
      </c>
      <c r="AS87" s="26">
        <f t="shared" si="90"/>
        <v>18.3544421875</v>
      </c>
      <c r="AT87" s="23">
        <v>0</v>
      </c>
      <c r="AU87" s="15">
        <f t="shared" si="108"/>
        <v>26.007015625</v>
      </c>
      <c r="AV87" s="26">
        <f t="shared" si="91"/>
        <v>0.14</v>
      </c>
      <c r="AW87" s="26">
        <f t="shared" si="91"/>
        <v>28.7770548828125</v>
      </c>
      <c r="AX87" s="26">
        <f t="shared" si="92"/>
        <v>20.41931693359375</v>
      </c>
      <c r="AY87" s="26"/>
      <c r="AZ87" s="15">
        <f t="shared" si="115"/>
        <v>28.9170548828125</v>
      </c>
      <c r="BA87" s="26">
        <f t="shared" si="93"/>
        <v>0.14</v>
      </c>
      <c r="BB87" s="26">
        <f t="shared" si="93"/>
        <v>32.01447355712891</v>
      </c>
      <c r="BC87" s="26">
        <f t="shared" si="94"/>
        <v>22.716490088623047</v>
      </c>
      <c r="BD87" s="23">
        <v>0</v>
      </c>
      <c r="BE87" s="15">
        <f t="shared" si="109"/>
        <v>32.15447355712891</v>
      </c>
      <c r="BF87" s="26">
        <f t="shared" si="95"/>
        <v>0.14</v>
      </c>
      <c r="BG87" s="26">
        <f t="shared" si="95"/>
        <v>35.61610183230591</v>
      </c>
      <c r="BH87" s="26">
        <f t="shared" si="96"/>
        <v>25.27209522359314</v>
      </c>
      <c r="BI87" s="23">
        <v>0</v>
      </c>
      <c r="BJ87" s="15">
        <f t="shared" si="110"/>
        <v>35.75610183230591</v>
      </c>
      <c r="BK87" s="26">
        <f t="shared" si="97"/>
        <v>0.14</v>
      </c>
      <c r="BL87" s="26">
        <f t="shared" si="97"/>
        <v>39.62291328844032</v>
      </c>
      <c r="BM87" s="26">
        <f t="shared" si="98"/>
        <v>28.11520593624737</v>
      </c>
      <c r="BN87" s="26">
        <f t="shared" si="99"/>
        <v>0</v>
      </c>
      <c r="BO87" s="15">
        <f t="shared" si="111"/>
        <v>39.76291328844032</v>
      </c>
      <c r="BP87" s="20"/>
      <c r="BQ87" s="18">
        <v>0.1125</v>
      </c>
    </row>
    <row r="88" spans="1:69" s="19" customFormat="1" ht="30">
      <c r="A88" s="21">
        <v>106</v>
      </c>
      <c r="B88" s="2" t="s">
        <v>73</v>
      </c>
      <c r="C88" s="23">
        <v>0</v>
      </c>
      <c r="D88" s="23">
        <v>0.06</v>
      </c>
      <c r="E88" s="23">
        <v>0.06</v>
      </c>
      <c r="F88" s="23">
        <v>0</v>
      </c>
      <c r="G88" s="15">
        <f t="shared" si="85"/>
        <v>0.06</v>
      </c>
      <c r="H88" s="26">
        <v>0</v>
      </c>
      <c r="I88" s="26">
        <f>0+J88</f>
        <v>0.15</v>
      </c>
      <c r="J88" s="26">
        <v>0.15</v>
      </c>
      <c r="K88" s="23">
        <v>0</v>
      </c>
      <c r="L88" s="15">
        <f t="shared" si="86"/>
        <v>0.15</v>
      </c>
      <c r="M88" s="26">
        <v>0</v>
      </c>
      <c r="N88" s="26">
        <v>0</v>
      </c>
      <c r="O88" s="26">
        <v>0.06</v>
      </c>
      <c r="P88" s="23">
        <v>0</v>
      </c>
      <c r="Q88" s="25">
        <f t="shared" si="116"/>
        <v>0</v>
      </c>
      <c r="R88" s="26">
        <v>0</v>
      </c>
      <c r="S88" s="26">
        <v>0</v>
      </c>
      <c r="T88" s="26">
        <v>0.11</v>
      </c>
      <c r="U88" s="23">
        <v>0</v>
      </c>
      <c r="V88" s="15">
        <f t="shared" si="112"/>
        <v>0</v>
      </c>
      <c r="W88" s="26">
        <v>0</v>
      </c>
      <c r="X88" s="26">
        <v>0.05</v>
      </c>
      <c r="Y88" s="26">
        <v>0</v>
      </c>
      <c r="Z88" s="23">
        <v>0</v>
      </c>
      <c r="AA88" s="15">
        <f t="shared" si="113"/>
        <v>0.05</v>
      </c>
      <c r="AB88" s="26">
        <v>0</v>
      </c>
      <c r="AC88" s="1">
        <v>0.03</v>
      </c>
      <c r="AD88" s="26">
        <v>0</v>
      </c>
      <c r="AE88" s="23">
        <v>0</v>
      </c>
      <c r="AF88" s="15">
        <f t="shared" si="114"/>
        <v>0.03</v>
      </c>
      <c r="AG88" s="26">
        <v>0</v>
      </c>
      <c r="AH88" s="1">
        <v>0.04</v>
      </c>
      <c r="AI88" s="26">
        <v>0</v>
      </c>
      <c r="AJ88" s="23">
        <v>0</v>
      </c>
      <c r="AK88" s="15">
        <f t="shared" si="106"/>
        <v>0.04</v>
      </c>
      <c r="AL88" s="26">
        <f t="shared" si="87"/>
        <v>0</v>
      </c>
      <c r="AM88" s="26">
        <f t="shared" si="87"/>
        <v>0.0445</v>
      </c>
      <c r="AN88" s="26">
        <f t="shared" si="88"/>
        <v>0</v>
      </c>
      <c r="AO88" s="23">
        <v>0</v>
      </c>
      <c r="AP88" s="15">
        <f t="shared" si="107"/>
        <v>0.0445</v>
      </c>
      <c r="AQ88" s="26">
        <f t="shared" si="89"/>
        <v>0</v>
      </c>
      <c r="AR88" s="26">
        <f t="shared" si="89"/>
        <v>0.04950625</v>
      </c>
      <c r="AS88" s="26">
        <f t="shared" si="90"/>
        <v>0</v>
      </c>
      <c r="AT88" s="23">
        <v>0</v>
      </c>
      <c r="AU88" s="15">
        <f t="shared" si="108"/>
        <v>0.04950625</v>
      </c>
      <c r="AV88" s="26">
        <f t="shared" si="91"/>
        <v>0</v>
      </c>
      <c r="AW88" s="26">
        <f t="shared" si="91"/>
        <v>0.055075703125</v>
      </c>
      <c r="AX88" s="26">
        <f t="shared" si="92"/>
        <v>0</v>
      </c>
      <c r="AY88" s="26"/>
      <c r="AZ88" s="15">
        <f t="shared" si="115"/>
        <v>0.055075703125</v>
      </c>
      <c r="BA88" s="26">
        <f t="shared" si="93"/>
        <v>0</v>
      </c>
      <c r="BB88" s="26">
        <f t="shared" si="93"/>
        <v>0.0612717197265625</v>
      </c>
      <c r="BC88" s="26">
        <f t="shared" si="94"/>
        <v>0</v>
      </c>
      <c r="BD88" s="23">
        <v>0</v>
      </c>
      <c r="BE88" s="15">
        <f t="shared" si="109"/>
        <v>0.0612717197265625</v>
      </c>
      <c r="BF88" s="26">
        <f t="shared" si="95"/>
        <v>0</v>
      </c>
      <c r="BG88" s="26">
        <f t="shared" si="95"/>
        <v>0.06816478819580078</v>
      </c>
      <c r="BH88" s="26">
        <f t="shared" si="96"/>
        <v>0</v>
      </c>
      <c r="BI88" s="23">
        <v>0</v>
      </c>
      <c r="BJ88" s="15">
        <f t="shared" si="110"/>
        <v>0.06816478819580078</v>
      </c>
      <c r="BK88" s="26">
        <f t="shared" si="97"/>
        <v>0</v>
      </c>
      <c r="BL88" s="26">
        <f t="shared" si="97"/>
        <v>0.07583332686782837</v>
      </c>
      <c r="BM88" s="26">
        <f t="shared" si="98"/>
        <v>0</v>
      </c>
      <c r="BN88" s="26">
        <f t="shared" si="99"/>
        <v>0</v>
      </c>
      <c r="BO88" s="15">
        <f t="shared" si="111"/>
        <v>0.07583332686782837</v>
      </c>
      <c r="BP88" s="20"/>
      <c r="BQ88" s="18">
        <v>0.1125</v>
      </c>
    </row>
    <row r="89" spans="1:69" s="19" customFormat="1" ht="15">
      <c r="A89" s="21">
        <v>110</v>
      </c>
      <c r="B89" s="2" t="s">
        <v>74</v>
      </c>
      <c r="C89" s="23">
        <v>0</v>
      </c>
      <c r="D89" s="23">
        <v>0</v>
      </c>
      <c r="E89" s="23">
        <v>0</v>
      </c>
      <c r="F89" s="23">
        <v>0</v>
      </c>
      <c r="G89" s="15">
        <f t="shared" si="85"/>
        <v>0</v>
      </c>
      <c r="H89" s="26">
        <v>0</v>
      </c>
      <c r="I89" s="26">
        <v>0</v>
      </c>
      <c r="J89" s="26">
        <v>0</v>
      </c>
      <c r="K89" s="23">
        <v>0</v>
      </c>
      <c r="L89" s="15">
        <f t="shared" si="86"/>
        <v>0</v>
      </c>
      <c r="M89" s="26">
        <v>0</v>
      </c>
      <c r="N89" s="26">
        <v>0</v>
      </c>
      <c r="O89" s="26">
        <v>0</v>
      </c>
      <c r="P89" s="23">
        <v>0</v>
      </c>
      <c r="Q89" s="25">
        <f t="shared" si="116"/>
        <v>0</v>
      </c>
      <c r="R89" s="26">
        <v>0</v>
      </c>
      <c r="S89" s="26">
        <v>0</v>
      </c>
      <c r="T89" s="26">
        <v>0</v>
      </c>
      <c r="U89" s="23">
        <v>0</v>
      </c>
      <c r="V89" s="15">
        <f t="shared" si="112"/>
        <v>0</v>
      </c>
      <c r="W89" s="26">
        <v>0</v>
      </c>
      <c r="X89" s="26">
        <v>0</v>
      </c>
      <c r="Y89" s="26">
        <v>0</v>
      </c>
      <c r="Z89" s="23">
        <v>0</v>
      </c>
      <c r="AA89" s="15">
        <f t="shared" si="113"/>
        <v>0</v>
      </c>
      <c r="AB89" s="26">
        <v>0</v>
      </c>
      <c r="AC89" s="26">
        <v>0</v>
      </c>
      <c r="AD89" s="26">
        <v>0</v>
      </c>
      <c r="AE89" s="23">
        <v>0</v>
      </c>
      <c r="AF89" s="15">
        <f t="shared" si="114"/>
        <v>0</v>
      </c>
      <c r="AG89" s="26">
        <v>0</v>
      </c>
      <c r="AH89" s="26">
        <v>0</v>
      </c>
      <c r="AI89" s="26">
        <v>0</v>
      </c>
      <c r="AJ89" s="23">
        <v>0</v>
      </c>
      <c r="AK89" s="15">
        <f t="shared" si="106"/>
        <v>0</v>
      </c>
      <c r="AL89" s="26">
        <f t="shared" si="87"/>
        <v>0</v>
      </c>
      <c r="AM89" s="26">
        <f t="shared" si="87"/>
        <v>0</v>
      </c>
      <c r="AN89" s="26">
        <f t="shared" si="88"/>
        <v>0</v>
      </c>
      <c r="AO89" s="23">
        <v>0</v>
      </c>
      <c r="AP89" s="15">
        <f t="shared" si="107"/>
        <v>0</v>
      </c>
      <c r="AQ89" s="26">
        <f t="shared" si="89"/>
        <v>0</v>
      </c>
      <c r="AR89" s="26">
        <f t="shared" si="89"/>
        <v>0</v>
      </c>
      <c r="AS89" s="26">
        <f t="shared" si="90"/>
        <v>0</v>
      </c>
      <c r="AT89" s="23">
        <v>0</v>
      </c>
      <c r="AU89" s="15">
        <f t="shared" si="108"/>
        <v>0</v>
      </c>
      <c r="AV89" s="26">
        <f t="shared" si="91"/>
        <v>0</v>
      </c>
      <c r="AW89" s="26">
        <f t="shared" si="91"/>
        <v>0</v>
      </c>
      <c r="AX89" s="26">
        <f t="shared" si="92"/>
        <v>0</v>
      </c>
      <c r="AY89" s="26"/>
      <c r="AZ89" s="15">
        <f t="shared" si="115"/>
        <v>0</v>
      </c>
      <c r="BA89" s="26">
        <f t="shared" si="93"/>
        <v>0</v>
      </c>
      <c r="BB89" s="26">
        <f t="shared" si="93"/>
        <v>0</v>
      </c>
      <c r="BC89" s="26">
        <f t="shared" si="94"/>
        <v>0</v>
      </c>
      <c r="BD89" s="23">
        <v>0</v>
      </c>
      <c r="BE89" s="15">
        <f t="shared" si="109"/>
        <v>0</v>
      </c>
      <c r="BF89" s="26">
        <f t="shared" si="95"/>
        <v>0</v>
      </c>
      <c r="BG89" s="26">
        <f t="shared" si="95"/>
        <v>0</v>
      </c>
      <c r="BH89" s="26">
        <f t="shared" si="96"/>
        <v>0</v>
      </c>
      <c r="BI89" s="23">
        <v>0</v>
      </c>
      <c r="BJ89" s="15">
        <f t="shared" si="110"/>
        <v>0</v>
      </c>
      <c r="BK89" s="26">
        <f t="shared" si="97"/>
        <v>0</v>
      </c>
      <c r="BL89" s="26">
        <f t="shared" si="97"/>
        <v>0</v>
      </c>
      <c r="BM89" s="26">
        <f t="shared" si="98"/>
        <v>0</v>
      </c>
      <c r="BN89" s="26">
        <f t="shared" si="99"/>
        <v>0</v>
      </c>
      <c r="BO89" s="15">
        <f t="shared" si="111"/>
        <v>0</v>
      </c>
      <c r="BP89" s="20"/>
      <c r="BQ89" s="18"/>
    </row>
    <row r="90" spans="1:69" s="19" customFormat="1" ht="15">
      <c r="A90" s="21">
        <v>2236</v>
      </c>
      <c r="B90" s="2" t="s">
        <v>246</v>
      </c>
      <c r="C90" s="1">
        <v>0.47</v>
      </c>
      <c r="D90" s="1">
        <f>4.28+E90</f>
        <v>4.92</v>
      </c>
      <c r="E90" s="1">
        <v>0.64</v>
      </c>
      <c r="F90" s="23">
        <v>0</v>
      </c>
      <c r="G90" s="15">
        <f t="shared" si="85"/>
        <v>5.39</v>
      </c>
      <c r="H90" s="26">
        <v>0.49</v>
      </c>
      <c r="I90" s="26">
        <f>6.66+J90</f>
        <v>7.61</v>
      </c>
      <c r="J90" s="26">
        <v>0.95</v>
      </c>
      <c r="K90" s="23">
        <v>0</v>
      </c>
      <c r="L90" s="15">
        <f t="shared" si="86"/>
        <v>8.1</v>
      </c>
      <c r="M90" s="26">
        <v>0.89</v>
      </c>
      <c r="N90" s="26">
        <f>4.47+O90</f>
        <v>7.16</v>
      </c>
      <c r="O90" s="26">
        <v>2.69</v>
      </c>
      <c r="P90" s="23">
        <v>0</v>
      </c>
      <c r="Q90" s="25">
        <f t="shared" si="116"/>
        <v>8.05</v>
      </c>
      <c r="R90" s="26">
        <v>0.98</v>
      </c>
      <c r="S90" s="26">
        <f>0.07+T90</f>
        <v>8.450000000000001</v>
      </c>
      <c r="T90" s="26">
        <v>8.38</v>
      </c>
      <c r="U90" s="23">
        <v>0</v>
      </c>
      <c r="V90" s="15">
        <f t="shared" si="112"/>
        <v>9.430000000000001</v>
      </c>
      <c r="W90" s="26">
        <v>3.86</v>
      </c>
      <c r="X90" s="26">
        <f>0.06+Y90</f>
        <v>6.1899999999999995</v>
      </c>
      <c r="Y90" s="26">
        <v>6.13</v>
      </c>
      <c r="Z90" s="23">
        <v>0</v>
      </c>
      <c r="AA90" s="15">
        <f t="shared" si="113"/>
        <v>10.049999999999999</v>
      </c>
      <c r="AB90" s="1">
        <v>1.03</v>
      </c>
      <c r="AC90" s="1">
        <v>13.2</v>
      </c>
      <c r="AD90" s="1"/>
      <c r="AE90" s="23">
        <v>0</v>
      </c>
      <c r="AF90" s="15">
        <f t="shared" si="114"/>
        <v>14.229999999999999</v>
      </c>
      <c r="AG90" s="1">
        <v>1.11</v>
      </c>
      <c r="AH90" s="1">
        <v>8.14</v>
      </c>
      <c r="AI90" s="26">
        <v>5.88</v>
      </c>
      <c r="AJ90" s="23">
        <v>0</v>
      </c>
      <c r="AK90" s="15">
        <f t="shared" si="106"/>
        <v>9.25</v>
      </c>
      <c r="AL90" s="26">
        <f t="shared" si="87"/>
        <v>1.11</v>
      </c>
      <c r="AM90" s="26">
        <f t="shared" si="87"/>
        <v>9.05575</v>
      </c>
      <c r="AN90" s="26">
        <f t="shared" si="88"/>
        <v>6.5415</v>
      </c>
      <c r="AO90" s="23">
        <v>0</v>
      </c>
      <c r="AP90" s="15">
        <f t="shared" si="107"/>
        <v>10.16575</v>
      </c>
      <c r="AQ90" s="26">
        <f t="shared" si="89"/>
        <v>1.11</v>
      </c>
      <c r="AR90" s="26">
        <f t="shared" si="89"/>
        <v>10.074521875</v>
      </c>
      <c r="AS90" s="26">
        <f t="shared" si="90"/>
        <v>7.27741875</v>
      </c>
      <c r="AT90" s="23">
        <v>0</v>
      </c>
      <c r="AU90" s="15">
        <f t="shared" si="108"/>
        <v>11.184521875</v>
      </c>
      <c r="AV90" s="26">
        <f t="shared" si="91"/>
        <v>1.11</v>
      </c>
      <c r="AW90" s="26">
        <f t="shared" si="91"/>
        <v>11.2079055859375</v>
      </c>
      <c r="AX90" s="26">
        <f t="shared" si="92"/>
        <v>8.096128359375</v>
      </c>
      <c r="AY90" s="26"/>
      <c r="AZ90" s="15">
        <f t="shared" si="115"/>
        <v>12.317905585937499</v>
      </c>
      <c r="BA90" s="26">
        <f t="shared" si="93"/>
        <v>1.11</v>
      </c>
      <c r="BB90" s="26">
        <f t="shared" si="93"/>
        <v>12.468794964355467</v>
      </c>
      <c r="BC90" s="26">
        <f t="shared" si="94"/>
        <v>9.006942799804687</v>
      </c>
      <c r="BD90" s="23">
        <v>0</v>
      </c>
      <c r="BE90" s="15">
        <f t="shared" si="109"/>
        <v>13.578794964355467</v>
      </c>
      <c r="BF90" s="26">
        <f t="shared" si="95"/>
        <v>1.11</v>
      </c>
      <c r="BG90" s="26">
        <f t="shared" si="95"/>
        <v>13.871534397845458</v>
      </c>
      <c r="BH90" s="26">
        <f t="shared" si="96"/>
        <v>10.020223864782714</v>
      </c>
      <c r="BI90" s="23">
        <v>0</v>
      </c>
      <c r="BJ90" s="15">
        <f t="shared" si="110"/>
        <v>14.981534397845458</v>
      </c>
      <c r="BK90" s="26">
        <f t="shared" si="97"/>
        <v>1.11</v>
      </c>
      <c r="BL90" s="26">
        <f t="shared" si="97"/>
        <v>15.432082017603072</v>
      </c>
      <c r="BM90" s="26">
        <f t="shared" si="98"/>
        <v>11.14749904957077</v>
      </c>
      <c r="BN90" s="26">
        <f t="shared" si="99"/>
        <v>0</v>
      </c>
      <c r="BO90" s="15">
        <f t="shared" si="111"/>
        <v>16.54208201760307</v>
      </c>
      <c r="BP90" s="20">
        <v>0</v>
      </c>
      <c r="BQ90" s="18">
        <v>0.1125</v>
      </c>
    </row>
    <row r="91" spans="1:69" s="19" customFormat="1" ht="15">
      <c r="A91" s="21">
        <v>102</v>
      </c>
      <c r="B91" s="2" t="s">
        <v>75</v>
      </c>
      <c r="C91" s="1">
        <v>0</v>
      </c>
      <c r="D91" s="1">
        <v>0</v>
      </c>
      <c r="E91" s="23">
        <v>0</v>
      </c>
      <c r="F91" s="23">
        <v>0</v>
      </c>
      <c r="G91" s="15">
        <f t="shared" si="85"/>
        <v>0</v>
      </c>
      <c r="H91" s="26">
        <v>0</v>
      </c>
      <c r="I91" s="26">
        <v>0</v>
      </c>
      <c r="J91" s="26">
        <v>0</v>
      </c>
      <c r="K91" s="23">
        <v>0</v>
      </c>
      <c r="L91" s="15">
        <f t="shared" si="86"/>
        <v>0</v>
      </c>
      <c r="M91" s="26">
        <v>0</v>
      </c>
      <c r="N91" s="26">
        <v>0</v>
      </c>
      <c r="O91" s="26">
        <v>0</v>
      </c>
      <c r="P91" s="23">
        <v>0</v>
      </c>
      <c r="Q91" s="25">
        <f t="shared" si="116"/>
        <v>0</v>
      </c>
      <c r="R91" s="26"/>
      <c r="S91" s="26">
        <v>0</v>
      </c>
      <c r="T91" s="26">
        <v>0</v>
      </c>
      <c r="U91" s="23">
        <v>0</v>
      </c>
      <c r="V91" s="15">
        <f t="shared" si="112"/>
        <v>0</v>
      </c>
      <c r="W91" s="26">
        <v>0</v>
      </c>
      <c r="X91" s="26">
        <v>0</v>
      </c>
      <c r="Y91" s="26">
        <v>0</v>
      </c>
      <c r="Z91" s="23">
        <v>0</v>
      </c>
      <c r="AA91" s="15">
        <f t="shared" si="113"/>
        <v>0</v>
      </c>
      <c r="AB91" s="23">
        <v>0</v>
      </c>
      <c r="AC91" s="23">
        <v>0</v>
      </c>
      <c r="AD91" s="23">
        <v>0</v>
      </c>
      <c r="AE91" s="23">
        <v>0</v>
      </c>
      <c r="AF91" s="15">
        <f t="shared" si="114"/>
        <v>0</v>
      </c>
      <c r="AG91" s="1"/>
      <c r="AH91" s="1"/>
      <c r="AI91" s="26">
        <v>0</v>
      </c>
      <c r="AJ91" s="23">
        <v>0</v>
      </c>
      <c r="AK91" s="15">
        <f t="shared" si="106"/>
        <v>0</v>
      </c>
      <c r="AL91" s="26">
        <f t="shared" si="87"/>
        <v>0</v>
      </c>
      <c r="AM91" s="26">
        <f t="shared" si="87"/>
        <v>0</v>
      </c>
      <c r="AN91" s="26">
        <f t="shared" si="88"/>
        <v>0</v>
      </c>
      <c r="AO91" s="23">
        <v>0</v>
      </c>
      <c r="AP91" s="15">
        <f t="shared" si="107"/>
        <v>0</v>
      </c>
      <c r="AQ91" s="26">
        <f t="shared" si="89"/>
        <v>0</v>
      </c>
      <c r="AR91" s="26">
        <f t="shared" si="89"/>
        <v>0</v>
      </c>
      <c r="AS91" s="26">
        <f t="shared" si="90"/>
        <v>0</v>
      </c>
      <c r="AT91" s="23">
        <v>0</v>
      </c>
      <c r="AU91" s="15">
        <f t="shared" si="108"/>
        <v>0</v>
      </c>
      <c r="AV91" s="26">
        <f t="shared" si="91"/>
        <v>0</v>
      </c>
      <c r="AW91" s="26">
        <f t="shared" si="91"/>
        <v>0</v>
      </c>
      <c r="AX91" s="26">
        <f t="shared" si="92"/>
        <v>0</v>
      </c>
      <c r="AY91" s="26"/>
      <c r="AZ91" s="15">
        <f t="shared" si="115"/>
        <v>0</v>
      </c>
      <c r="BA91" s="26">
        <f t="shared" si="93"/>
        <v>0</v>
      </c>
      <c r="BB91" s="26">
        <f t="shared" si="93"/>
        <v>0</v>
      </c>
      <c r="BC91" s="26">
        <f t="shared" si="94"/>
        <v>0</v>
      </c>
      <c r="BD91" s="23">
        <v>0</v>
      </c>
      <c r="BE91" s="15">
        <f t="shared" si="109"/>
        <v>0</v>
      </c>
      <c r="BF91" s="26">
        <f t="shared" si="95"/>
        <v>0</v>
      </c>
      <c r="BG91" s="26">
        <f t="shared" si="95"/>
        <v>0</v>
      </c>
      <c r="BH91" s="26">
        <f t="shared" si="96"/>
        <v>0</v>
      </c>
      <c r="BI91" s="23">
        <v>0</v>
      </c>
      <c r="BJ91" s="15">
        <f t="shared" si="110"/>
        <v>0</v>
      </c>
      <c r="BK91" s="26">
        <f t="shared" si="97"/>
        <v>0</v>
      </c>
      <c r="BL91" s="26">
        <f t="shared" si="97"/>
        <v>0</v>
      </c>
      <c r="BM91" s="26">
        <f t="shared" si="98"/>
        <v>0</v>
      </c>
      <c r="BN91" s="26">
        <f t="shared" si="99"/>
        <v>0</v>
      </c>
      <c r="BO91" s="15">
        <f t="shared" si="111"/>
        <v>0</v>
      </c>
      <c r="BP91" s="20"/>
      <c r="BQ91" s="18"/>
    </row>
    <row r="92" spans="1:69" s="19" customFormat="1" ht="15">
      <c r="A92" s="21">
        <v>80</v>
      </c>
      <c r="B92" s="2" t="s">
        <v>57</v>
      </c>
      <c r="C92" s="1">
        <v>0.47</v>
      </c>
      <c r="D92" s="1">
        <v>0.27</v>
      </c>
      <c r="E92" s="23">
        <v>0</v>
      </c>
      <c r="F92" s="23">
        <v>0</v>
      </c>
      <c r="G92" s="15">
        <f t="shared" si="85"/>
        <v>0.74</v>
      </c>
      <c r="H92" s="26">
        <v>0.49</v>
      </c>
      <c r="I92" s="26">
        <v>0.35</v>
      </c>
      <c r="J92" s="26">
        <v>0</v>
      </c>
      <c r="K92" s="23">
        <v>0</v>
      </c>
      <c r="L92" s="15">
        <f t="shared" si="86"/>
        <v>0.84</v>
      </c>
      <c r="M92" s="26">
        <v>0.89</v>
      </c>
      <c r="N92" s="26">
        <v>0.58</v>
      </c>
      <c r="O92" s="26">
        <v>0</v>
      </c>
      <c r="P92" s="23">
        <v>0</v>
      </c>
      <c r="Q92" s="25">
        <f t="shared" si="116"/>
        <v>1.47</v>
      </c>
      <c r="R92" s="26">
        <v>0.98</v>
      </c>
      <c r="S92" s="26">
        <v>0.07</v>
      </c>
      <c r="T92" s="26">
        <v>0</v>
      </c>
      <c r="U92" s="23">
        <v>0</v>
      </c>
      <c r="V92" s="15">
        <f t="shared" si="112"/>
        <v>1.05</v>
      </c>
      <c r="W92" s="26">
        <v>0.92</v>
      </c>
      <c r="X92" s="26">
        <v>0.06</v>
      </c>
      <c r="Y92" s="26">
        <v>0</v>
      </c>
      <c r="Z92" s="23">
        <v>0</v>
      </c>
      <c r="AA92" s="15">
        <f t="shared" si="113"/>
        <v>0.98</v>
      </c>
      <c r="AB92" s="23">
        <v>1.03</v>
      </c>
      <c r="AC92" s="23">
        <v>1.02</v>
      </c>
      <c r="AD92" s="23">
        <v>0</v>
      </c>
      <c r="AE92" s="23">
        <v>0</v>
      </c>
      <c r="AF92" s="15">
        <f t="shared" si="114"/>
        <v>2.05</v>
      </c>
      <c r="AG92" s="1">
        <v>1.11</v>
      </c>
      <c r="AH92" s="1">
        <v>0.14</v>
      </c>
      <c r="AI92" s="26">
        <v>0</v>
      </c>
      <c r="AJ92" s="23">
        <v>0</v>
      </c>
      <c r="AK92" s="15">
        <f t="shared" si="106"/>
        <v>1.25</v>
      </c>
      <c r="AL92" s="26">
        <f t="shared" si="87"/>
        <v>1.2849060929568403</v>
      </c>
      <c r="AM92" s="26">
        <f t="shared" si="87"/>
        <v>0.15575000000000003</v>
      </c>
      <c r="AN92" s="26">
        <f t="shared" si="88"/>
        <v>0</v>
      </c>
      <c r="AO92" s="23">
        <v>0</v>
      </c>
      <c r="AP92" s="15">
        <f t="shared" si="107"/>
        <v>1.4406560929568404</v>
      </c>
      <c r="AQ92" s="26">
        <f t="shared" si="89"/>
        <v>1.4873726736194706</v>
      </c>
      <c r="AR92" s="26">
        <f t="shared" si="89"/>
        <v>0.17327187500000002</v>
      </c>
      <c r="AS92" s="26">
        <f t="shared" si="90"/>
        <v>0</v>
      </c>
      <c r="AT92" s="23">
        <v>0</v>
      </c>
      <c r="AU92" s="15">
        <f t="shared" si="108"/>
        <v>1.6606445486194705</v>
      </c>
      <c r="AV92" s="26">
        <f t="shared" si="91"/>
        <v>1.7217425322803273</v>
      </c>
      <c r="AW92" s="26">
        <f t="shared" si="91"/>
        <v>0.1927649609375</v>
      </c>
      <c r="AX92" s="26">
        <f t="shared" si="92"/>
        <v>0</v>
      </c>
      <c r="AY92" s="26"/>
      <c r="AZ92" s="15">
        <f t="shared" si="115"/>
        <v>1.9145074932178272</v>
      </c>
      <c r="BA92" s="26">
        <f t="shared" si="93"/>
        <v>1.9930427659729113</v>
      </c>
      <c r="BB92" s="26">
        <f t="shared" si="93"/>
        <v>0.21445101904296876</v>
      </c>
      <c r="BC92" s="26">
        <f t="shared" si="94"/>
        <v>0</v>
      </c>
      <c r="BD92" s="23">
        <v>0</v>
      </c>
      <c r="BE92" s="15">
        <f t="shared" si="109"/>
        <v>2.2074937850158802</v>
      </c>
      <c r="BF92" s="26">
        <f t="shared" si="95"/>
        <v>2.3070926067767097</v>
      </c>
      <c r="BG92" s="26">
        <f t="shared" si="95"/>
        <v>0.23857675868530276</v>
      </c>
      <c r="BH92" s="26">
        <f t="shared" si="96"/>
        <v>0</v>
      </c>
      <c r="BI92" s="23">
        <v>0</v>
      </c>
      <c r="BJ92" s="15">
        <f t="shared" si="110"/>
        <v>2.5456693654620124</v>
      </c>
      <c r="BK92" s="26">
        <f t="shared" si="97"/>
        <v>2.670628240957724</v>
      </c>
      <c r="BL92" s="26">
        <f t="shared" si="97"/>
        <v>0.26541664403739934</v>
      </c>
      <c r="BM92" s="26">
        <f t="shared" si="98"/>
        <v>0</v>
      </c>
      <c r="BN92" s="26">
        <f t="shared" si="99"/>
        <v>0</v>
      </c>
      <c r="BO92" s="15">
        <f t="shared" si="111"/>
        <v>2.9360448849951237</v>
      </c>
      <c r="BP92" s="20">
        <v>0.15757305671787405</v>
      </c>
      <c r="BQ92" s="18">
        <v>0.1125</v>
      </c>
    </row>
    <row r="93" spans="1:69" s="19" customFormat="1" ht="30">
      <c r="A93" s="21">
        <v>2245</v>
      </c>
      <c r="B93" s="2" t="s">
        <v>182</v>
      </c>
      <c r="C93" s="31">
        <v>32.2</v>
      </c>
      <c r="D93" s="31">
        <v>2.28</v>
      </c>
      <c r="E93" s="40">
        <v>0</v>
      </c>
      <c r="F93" s="23">
        <v>0</v>
      </c>
      <c r="G93" s="15">
        <f t="shared" si="85"/>
        <v>34.480000000000004</v>
      </c>
      <c r="H93" s="26">
        <v>27.59</v>
      </c>
      <c r="I93" s="26">
        <f>0+J93</f>
        <v>0.01</v>
      </c>
      <c r="J93" s="26">
        <v>0.01</v>
      </c>
      <c r="K93" s="23">
        <v>0</v>
      </c>
      <c r="L93" s="15">
        <f t="shared" si="86"/>
        <v>27.6</v>
      </c>
      <c r="M93" s="26">
        <v>19.9</v>
      </c>
      <c r="N93" s="26">
        <v>0</v>
      </c>
      <c r="O93" s="26">
        <v>0</v>
      </c>
      <c r="P93" s="23">
        <v>0</v>
      </c>
      <c r="Q93" s="25">
        <f t="shared" si="116"/>
        <v>19.9</v>
      </c>
      <c r="R93" s="26">
        <v>12.27</v>
      </c>
      <c r="S93" s="26">
        <f>0+T93</f>
        <v>0.11</v>
      </c>
      <c r="T93" s="26">
        <v>0.11</v>
      </c>
      <c r="U93" s="23">
        <v>0</v>
      </c>
      <c r="V93" s="15">
        <f t="shared" si="112"/>
        <v>12.379999999999999</v>
      </c>
      <c r="W93" s="26">
        <v>236.3</v>
      </c>
      <c r="X93" s="26">
        <v>0</v>
      </c>
      <c r="Y93" s="26">
        <v>0</v>
      </c>
      <c r="Z93" s="23">
        <v>0</v>
      </c>
      <c r="AA93" s="15">
        <f t="shared" si="113"/>
        <v>236.3</v>
      </c>
      <c r="AB93" s="23">
        <v>26.82</v>
      </c>
      <c r="AC93" s="23">
        <v>0.49</v>
      </c>
      <c r="AD93" s="23">
        <v>0</v>
      </c>
      <c r="AE93" s="23">
        <v>0</v>
      </c>
      <c r="AF93" s="15">
        <f t="shared" si="114"/>
        <v>27.31</v>
      </c>
      <c r="AG93" s="1">
        <v>103.85</v>
      </c>
      <c r="AH93" s="1">
        <v>0.14</v>
      </c>
      <c r="AI93" s="26">
        <v>0.14</v>
      </c>
      <c r="AJ93" s="23">
        <v>0</v>
      </c>
      <c r="AK93" s="15">
        <f t="shared" si="106"/>
        <v>103.99</v>
      </c>
      <c r="AL93" s="26">
        <v>44.96</v>
      </c>
      <c r="AM93" s="26">
        <f t="shared" si="87"/>
        <v>0.15575000000000003</v>
      </c>
      <c r="AN93" s="26">
        <f t="shared" si="88"/>
        <v>0.15575000000000003</v>
      </c>
      <c r="AO93" s="23">
        <v>0</v>
      </c>
      <c r="AP93" s="15">
        <f t="shared" si="107"/>
        <v>45.11575</v>
      </c>
      <c r="AQ93" s="26">
        <f t="shared" si="89"/>
        <v>50.018</v>
      </c>
      <c r="AR93" s="26">
        <f t="shared" si="89"/>
        <v>0.17327187500000002</v>
      </c>
      <c r="AS93" s="26">
        <f t="shared" si="90"/>
        <v>0.17327187500000002</v>
      </c>
      <c r="AT93" s="23">
        <v>0</v>
      </c>
      <c r="AU93" s="15">
        <f t="shared" si="108"/>
        <v>50.191271875</v>
      </c>
      <c r="AV93" s="26">
        <f t="shared" si="91"/>
        <v>55.645025000000004</v>
      </c>
      <c r="AW93" s="26">
        <f t="shared" si="91"/>
        <v>0.1927649609375</v>
      </c>
      <c r="AX93" s="26">
        <f t="shared" si="92"/>
        <v>0.1927649609375</v>
      </c>
      <c r="AY93" s="26"/>
      <c r="AZ93" s="15">
        <f t="shared" si="115"/>
        <v>55.837789960937506</v>
      </c>
      <c r="BA93" s="26">
        <f t="shared" si="93"/>
        <v>61.90509031250001</v>
      </c>
      <c r="BB93" s="26">
        <f t="shared" si="93"/>
        <v>0.21445101904296876</v>
      </c>
      <c r="BC93" s="26">
        <f t="shared" si="94"/>
        <v>0.21445101904296876</v>
      </c>
      <c r="BD93" s="23">
        <v>0</v>
      </c>
      <c r="BE93" s="15">
        <f t="shared" si="109"/>
        <v>62.119541331542976</v>
      </c>
      <c r="BF93" s="26">
        <f t="shared" si="95"/>
        <v>68.86941297265626</v>
      </c>
      <c r="BG93" s="26">
        <f t="shared" si="95"/>
        <v>0.23857675868530276</v>
      </c>
      <c r="BH93" s="26">
        <f t="shared" si="96"/>
        <v>0.23857675868530276</v>
      </c>
      <c r="BI93" s="23">
        <v>0</v>
      </c>
      <c r="BJ93" s="15">
        <f t="shared" si="110"/>
        <v>69.10798973134156</v>
      </c>
      <c r="BK93" s="41">
        <f t="shared" si="97"/>
        <v>76.6172219320801</v>
      </c>
      <c r="BL93" s="26">
        <f t="shared" si="97"/>
        <v>0.26541664403739934</v>
      </c>
      <c r="BM93" s="26">
        <f t="shared" si="98"/>
        <v>0.26541664403739934</v>
      </c>
      <c r="BN93" s="26">
        <f t="shared" si="99"/>
        <v>0</v>
      </c>
      <c r="BO93" s="15">
        <f t="shared" si="111"/>
        <v>76.8826385761175</v>
      </c>
      <c r="BP93" s="20">
        <v>0.1125</v>
      </c>
      <c r="BQ93" s="18">
        <v>0.1125</v>
      </c>
    </row>
    <row r="94" spans="1:69" s="19" customFormat="1" ht="15">
      <c r="A94" s="21" t="s">
        <v>49</v>
      </c>
      <c r="B94" s="2" t="s">
        <v>76</v>
      </c>
      <c r="C94" s="1">
        <v>0</v>
      </c>
      <c r="D94" s="1">
        <v>0</v>
      </c>
      <c r="E94" s="23">
        <v>0</v>
      </c>
      <c r="F94" s="23">
        <v>0</v>
      </c>
      <c r="G94" s="15">
        <f t="shared" si="85"/>
        <v>0</v>
      </c>
      <c r="H94" s="26">
        <v>0</v>
      </c>
      <c r="I94" s="26">
        <v>0</v>
      </c>
      <c r="J94" s="26">
        <v>0</v>
      </c>
      <c r="K94" s="23">
        <v>0</v>
      </c>
      <c r="L94" s="15">
        <f t="shared" si="86"/>
        <v>0</v>
      </c>
      <c r="M94" s="26">
        <v>0</v>
      </c>
      <c r="N94" s="26">
        <v>0</v>
      </c>
      <c r="O94" s="26">
        <v>0</v>
      </c>
      <c r="P94" s="23">
        <v>0</v>
      </c>
      <c r="Q94" s="25">
        <f t="shared" si="116"/>
        <v>0</v>
      </c>
      <c r="R94" s="26">
        <v>0</v>
      </c>
      <c r="S94" s="26">
        <v>0</v>
      </c>
      <c r="T94" s="26">
        <v>0</v>
      </c>
      <c r="U94" s="23">
        <v>0</v>
      </c>
      <c r="V94" s="15">
        <f t="shared" si="112"/>
        <v>0</v>
      </c>
      <c r="W94" s="26">
        <v>0</v>
      </c>
      <c r="X94" s="26">
        <v>0</v>
      </c>
      <c r="Y94" s="26">
        <v>0</v>
      </c>
      <c r="Z94" s="23">
        <v>0</v>
      </c>
      <c r="AA94" s="15">
        <f t="shared" si="113"/>
        <v>0</v>
      </c>
      <c r="AB94" s="23">
        <v>0</v>
      </c>
      <c r="AC94" s="23">
        <v>0</v>
      </c>
      <c r="AD94" s="23">
        <v>0</v>
      </c>
      <c r="AE94" s="23">
        <v>0</v>
      </c>
      <c r="AF94" s="15">
        <f t="shared" si="114"/>
        <v>0</v>
      </c>
      <c r="AG94" s="26">
        <v>0</v>
      </c>
      <c r="AH94" s="26">
        <v>0</v>
      </c>
      <c r="AI94" s="26">
        <v>0</v>
      </c>
      <c r="AJ94" s="23">
        <v>0</v>
      </c>
      <c r="AK94" s="15">
        <f t="shared" si="106"/>
        <v>0</v>
      </c>
      <c r="AL94" s="26">
        <f t="shared" si="87"/>
        <v>0</v>
      </c>
      <c r="AM94" s="26">
        <f t="shared" si="87"/>
        <v>0</v>
      </c>
      <c r="AN94" s="26">
        <f t="shared" si="88"/>
        <v>0</v>
      </c>
      <c r="AO94" s="23">
        <v>0</v>
      </c>
      <c r="AP94" s="15">
        <f t="shared" si="107"/>
        <v>0</v>
      </c>
      <c r="AQ94" s="26">
        <f t="shared" si="89"/>
        <v>0</v>
      </c>
      <c r="AR94" s="26">
        <f t="shared" si="89"/>
        <v>0</v>
      </c>
      <c r="AS94" s="26">
        <f t="shared" si="90"/>
        <v>0</v>
      </c>
      <c r="AT94" s="23">
        <v>0</v>
      </c>
      <c r="AU94" s="15">
        <f t="shared" si="108"/>
        <v>0</v>
      </c>
      <c r="AV94" s="26">
        <f t="shared" si="91"/>
        <v>0</v>
      </c>
      <c r="AW94" s="26">
        <f t="shared" si="91"/>
        <v>0</v>
      </c>
      <c r="AX94" s="26">
        <f t="shared" si="92"/>
        <v>0</v>
      </c>
      <c r="AY94" s="26"/>
      <c r="AZ94" s="15">
        <f t="shared" si="115"/>
        <v>0</v>
      </c>
      <c r="BA94" s="26">
        <f t="shared" si="93"/>
        <v>0</v>
      </c>
      <c r="BB94" s="26">
        <f t="shared" si="93"/>
        <v>0</v>
      </c>
      <c r="BC94" s="26">
        <f t="shared" si="94"/>
        <v>0</v>
      </c>
      <c r="BD94" s="23">
        <v>0</v>
      </c>
      <c r="BE94" s="15">
        <f t="shared" si="109"/>
        <v>0</v>
      </c>
      <c r="BF94" s="26">
        <f t="shared" si="95"/>
        <v>0</v>
      </c>
      <c r="BG94" s="26">
        <f t="shared" si="95"/>
        <v>0</v>
      </c>
      <c r="BH94" s="26">
        <f t="shared" si="96"/>
        <v>0</v>
      </c>
      <c r="BI94" s="23">
        <v>0</v>
      </c>
      <c r="BJ94" s="15">
        <f t="shared" si="110"/>
        <v>0</v>
      </c>
      <c r="BK94" s="26">
        <f t="shared" si="97"/>
        <v>0</v>
      </c>
      <c r="BL94" s="26">
        <f t="shared" si="97"/>
        <v>0</v>
      </c>
      <c r="BM94" s="26">
        <f t="shared" si="98"/>
        <v>0</v>
      </c>
      <c r="BN94" s="26">
        <f t="shared" si="99"/>
        <v>0</v>
      </c>
      <c r="BO94" s="15">
        <f t="shared" si="111"/>
        <v>0</v>
      </c>
      <c r="BP94" s="20"/>
      <c r="BQ94" s="18"/>
    </row>
    <row r="95" spans="1:69" s="19" customFormat="1" ht="15">
      <c r="A95" s="21" t="s">
        <v>51</v>
      </c>
      <c r="B95" s="2" t="s">
        <v>77</v>
      </c>
      <c r="C95" s="1">
        <v>18.58</v>
      </c>
      <c r="D95" s="1">
        <v>2.28</v>
      </c>
      <c r="E95" s="23">
        <v>0</v>
      </c>
      <c r="F95" s="23">
        <v>0</v>
      </c>
      <c r="G95" s="15">
        <f t="shared" si="85"/>
        <v>20.86</v>
      </c>
      <c r="H95" s="26">
        <v>32.36</v>
      </c>
      <c r="I95" s="26">
        <v>0</v>
      </c>
      <c r="J95" s="26">
        <v>0</v>
      </c>
      <c r="K95" s="23">
        <v>0</v>
      </c>
      <c r="L95" s="15">
        <f t="shared" si="86"/>
        <v>32.36</v>
      </c>
      <c r="M95" s="26">
        <v>14.57</v>
      </c>
      <c r="N95" s="26">
        <v>0</v>
      </c>
      <c r="O95" s="26">
        <v>0</v>
      </c>
      <c r="P95" s="23">
        <v>0</v>
      </c>
      <c r="Q95" s="25">
        <f t="shared" si="116"/>
        <v>14.57</v>
      </c>
      <c r="R95" s="26">
        <v>16.36</v>
      </c>
      <c r="S95" s="26">
        <v>0</v>
      </c>
      <c r="T95" s="26">
        <v>0</v>
      </c>
      <c r="U95" s="23">
        <v>0</v>
      </c>
      <c r="V95" s="15">
        <f t="shared" si="112"/>
        <v>16.36</v>
      </c>
      <c r="W95" s="26">
        <v>157.17</v>
      </c>
      <c r="X95" s="26">
        <v>0</v>
      </c>
      <c r="Y95" s="26">
        <v>0</v>
      </c>
      <c r="Z95" s="23">
        <v>0</v>
      </c>
      <c r="AA95" s="15">
        <f t="shared" si="113"/>
        <v>157.17</v>
      </c>
      <c r="AB95" s="23">
        <v>0</v>
      </c>
      <c r="AC95" s="23">
        <v>0</v>
      </c>
      <c r="AD95" s="23">
        <v>0</v>
      </c>
      <c r="AE95" s="23">
        <v>0</v>
      </c>
      <c r="AF95" s="15">
        <f t="shared" si="114"/>
        <v>0</v>
      </c>
      <c r="AG95" s="26">
        <v>0</v>
      </c>
      <c r="AH95" s="26">
        <v>0</v>
      </c>
      <c r="AI95" s="26">
        <v>0</v>
      </c>
      <c r="AJ95" s="23">
        <v>0</v>
      </c>
      <c r="AK95" s="15">
        <f t="shared" si="106"/>
        <v>0</v>
      </c>
      <c r="AL95" s="26">
        <v>44.96</v>
      </c>
      <c r="AM95" s="26">
        <f t="shared" si="87"/>
        <v>0</v>
      </c>
      <c r="AN95" s="26">
        <f t="shared" si="88"/>
        <v>0</v>
      </c>
      <c r="AO95" s="23">
        <v>0</v>
      </c>
      <c r="AP95" s="15">
        <f t="shared" si="107"/>
        <v>44.96</v>
      </c>
      <c r="AQ95" s="26">
        <v>50.02</v>
      </c>
      <c r="AR95" s="26">
        <f t="shared" si="89"/>
        <v>0</v>
      </c>
      <c r="AS95" s="26">
        <f t="shared" si="90"/>
        <v>0</v>
      </c>
      <c r="AT95" s="23">
        <v>0</v>
      </c>
      <c r="AU95" s="15">
        <f t="shared" si="108"/>
        <v>50.02</v>
      </c>
      <c r="AV95" s="26">
        <v>44.96</v>
      </c>
      <c r="AW95" s="26">
        <f t="shared" si="91"/>
        <v>0</v>
      </c>
      <c r="AX95" s="26">
        <f t="shared" si="92"/>
        <v>0</v>
      </c>
      <c r="AY95" s="26"/>
      <c r="AZ95" s="15">
        <f t="shared" si="115"/>
        <v>44.96</v>
      </c>
      <c r="BA95" s="26">
        <f t="shared" si="93"/>
        <v>44.96</v>
      </c>
      <c r="BB95" s="26">
        <f t="shared" si="93"/>
        <v>0</v>
      </c>
      <c r="BC95" s="26">
        <f t="shared" si="94"/>
        <v>0</v>
      </c>
      <c r="BD95" s="23">
        <v>0</v>
      </c>
      <c r="BE95" s="15">
        <f t="shared" si="109"/>
        <v>44.96</v>
      </c>
      <c r="BF95" s="26">
        <f t="shared" si="95"/>
        <v>44.96</v>
      </c>
      <c r="BG95" s="26">
        <f t="shared" si="95"/>
        <v>0</v>
      </c>
      <c r="BH95" s="26">
        <f t="shared" si="96"/>
        <v>0</v>
      </c>
      <c r="BI95" s="23">
        <v>0</v>
      </c>
      <c r="BJ95" s="15">
        <f t="shared" si="110"/>
        <v>44.96</v>
      </c>
      <c r="BK95" s="26">
        <f t="shared" si="97"/>
        <v>44.96</v>
      </c>
      <c r="BL95" s="26">
        <f t="shared" si="97"/>
        <v>0</v>
      </c>
      <c r="BM95" s="26">
        <f t="shared" si="98"/>
        <v>0</v>
      </c>
      <c r="BN95" s="26">
        <f t="shared" si="99"/>
        <v>0</v>
      </c>
      <c r="BO95" s="15">
        <f t="shared" si="111"/>
        <v>44.96</v>
      </c>
      <c r="BP95" s="20"/>
      <c r="BQ95" s="18"/>
    </row>
    <row r="96" spans="1:69" s="19" customFormat="1" ht="15">
      <c r="A96" s="21">
        <v>2250</v>
      </c>
      <c r="B96" s="2" t="s">
        <v>183</v>
      </c>
      <c r="C96" s="1">
        <v>5.08</v>
      </c>
      <c r="D96" s="1">
        <v>0</v>
      </c>
      <c r="E96" s="23">
        <v>0</v>
      </c>
      <c r="F96" s="23">
        <v>0</v>
      </c>
      <c r="G96" s="15">
        <f t="shared" si="85"/>
        <v>5.08</v>
      </c>
      <c r="H96" s="26">
        <v>8.65</v>
      </c>
      <c r="I96" s="26">
        <v>0</v>
      </c>
      <c r="J96" s="26">
        <v>0</v>
      </c>
      <c r="K96" s="23">
        <v>0</v>
      </c>
      <c r="L96" s="15">
        <f t="shared" si="86"/>
        <v>8.65</v>
      </c>
      <c r="M96" s="26">
        <v>10.04</v>
      </c>
      <c r="N96" s="26">
        <v>0</v>
      </c>
      <c r="O96" s="26">
        <v>0</v>
      </c>
      <c r="P96" s="23">
        <v>0</v>
      </c>
      <c r="Q96" s="25">
        <f t="shared" si="116"/>
        <v>10.04</v>
      </c>
      <c r="R96" s="26">
        <v>10.21</v>
      </c>
      <c r="S96" s="26">
        <v>0</v>
      </c>
      <c r="T96" s="26">
        <v>0</v>
      </c>
      <c r="U96" s="23">
        <v>0</v>
      </c>
      <c r="V96" s="15">
        <f t="shared" si="112"/>
        <v>10.21</v>
      </c>
      <c r="W96" s="26">
        <v>17.56</v>
      </c>
      <c r="X96" s="26">
        <v>0</v>
      </c>
      <c r="Y96" s="26">
        <v>0</v>
      </c>
      <c r="Z96" s="23">
        <v>0</v>
      </c>
      <c r="AA96" s="15">
        <f t="shared" si="113"/>
        <v>17.56</v>
      </c>
      <c r="AB96" s="23">
        <v>18.44</v>
      </c>
      <c r="AC96" s="23"/>
      <c r="AD96" s="23">
        <v>0</v>
      </c>
      <c r="AE96" s="23">
        <v>0</v>
      </c>
      <c r="AF96" s="15">
        <f t="shared" si="114"/>
        <v>18.44</v>
      </c>
      <c r="AG96" s="1">
        <v>18.38</v>
      </c>
      <c r="AH96" s="1">
        <v>18</v>
      </c>
      <c r="AI96" s="26">
        <v>0</v>
      </c>
      <c r="AJ96" s="23">
        <v>0</v>
      </c>
      <c r="AK96" s="15">
        <f t="shared" si="106"/>
        <v>36.379999999999995</v>
      </c>
      <c r="AL96" s="26">
        <f t="shared" si="87"/>
        <v>22.71620159879889</v>
      </c>
      <c r="AM96" s="26">
        <f t="shared" si="87"/>
        <v>20.025</v>
      </c>
      <c r="AN96" s="26">
        <f t="shared" si="88"/>
        <v>0</v>
      </c>
      <c r="AO96" s="23">
        <v>0</v>
      </c>
      <c r="AP96" s="15">
        <f t="shared" si="107"/>
        <v>42.74120159879889</v>
      </c>
      <c r="AQ96" s="26">
        <f t="shared" si="89"/>
        <v>28.07539799114653</v>
      </c>
      <c r="AR96" s="26">
        <f t="shared" si="89"/>
        <v>22.2778125</v>
      </c>
      <c r="AS96" s="26">
        <f t="shared" si="90"/>
        <v>0</v>
      </c>
      <c r="AT96" s="23">
        <v>0</v>
      </c>
      <c r="AU96" s="15">
        <f t="shared" si="108"/>
        <v>50.35321049114653</v>
      </c>
      <c r="AV96" s="26">
        <f t="shared" si="91"/>
        <v>34.69893366340577</v>
      </c>
      <c r="AW96" s="26">
        <f t="shared" si="91"/>
        <v>24.78406640625</v>
      </c>
      <c r="AX96" s="26">
        <f t="shared" si="92"/>
        <v>0</v>
      </c>
      <c r="AY96" s="26"/>
      <c r="AZ96" s="15">
        <f t="shared" si="115"/>
        <v>59.483000069655766</v>
      </c>
      <c r="BA96" s="26">
        <f t="shared" si="93"/>
        <v>42.88509098809982</v>
      </c>
      <c r="BB96" s="26">
        <f t="shared" si="93"/>
        <v>27.572273876953123</v>
      </c>
      <c r="BC96" s="26">
        <f t="shared" si="94"/>
        <v>0</v>
      </c>
      <c r="BD96" s="23">
        <v>0</v>
      </c>
      <c r="BE96" s="15">
        <f t="shared" si="109"/>
        <v>70.45736486505294</v>
      </c>
      <c r="BF96" s="26">
        <f t="shared" si="95"/>
        <v>53.002522985229</v>
      </c>
      <c r="BG96" s="26">
        <f t="shared" si="95"/>
        <v>30.67415468811035</v>
      </c>
      <c r="BH96" s="26">
        <f t="shared" si="96"/>
        <v>0</v>
      </c>
      <c r="BI96" s="23">
        <v>0</v>
      </c>
      <c r="BJ96" s="15">
        <f t="shared" si="110"/>
        <v>83.67667767333936</v>
      </c>
      <c r="BK96" s="26">
        <f t="shared" si="97"/>
        <v>65.50685513478966</v>
      </c>
      <c r="BL96" s="26">
        <f t="shared" si="97"/>
        <v>34.12499709052276</v>
      </c>
      <c r="BM96" s="26">
        <f t="shared" si="98"/>
        <v>0</v>
      </c>
      <c r="BN96" s="26">
        <f t="shared" si="99"/>
        <v>0</v>
      </c>
      <c r="BO96" s="15">
        <f t="shared" si="111"/>
        <v>99.63185222531243</v>
      </c>
      <c r="BP96" s="20">
        <v>0.23591956467893851</v>
      </c>
      <c r="BQ96" s="18">
        <v>0.1125</v>
      </c>
    </row>
    <row r="97" spans="1:69" s="19" customFormat="1" ht="15">
      <c r="A97" s="21">
        <v>2251</v>
      </c>
      <c r="B97" s="2" t="s">
        <v>184</v>
      </c>
      <c r="C97" s="1">
        <v>0.13</v>
      </c>
      <c r="D97" s="1">
        <v>0</v>
      </c>
      <c r="E97" s="23">
        <v>0</v>
      </c>
      <c r="F97" s="23">
        <v>0</v>
      </c>
      <c r="G97" s="15">
        <f t="shared" si="85"/>
        <v>0.13</v>
      </c>
      <c r="H97" s="26">
        <v>0.15</v>
      </c>
      <c r="I97" s="26">
        <v>0</v>
      </c>
      <c r="J97" s="26">
        <v>0</v>
      </c>
      <c r="K97" s="23">
        <v>0</v>
      </c>
      <c r="L97" s="15">
        <f t="shared" si="86"/>
        <v>0.15</v>
      </c>
      <c r="M97" s="26">
        <v>0.3</v>
      </c>
      <c r="N97" s="26">
        <v>0</v>
      </c>
      <c r="O97" s="26">
        <v>0</v>
      </c>
      <c r="P97" s="23">
        <v>0</v>
      </c>
      <c r="Q97" s="25">
        <f t="shared" si="116"/>
        <v>0.3</v>
      </c>
      <c r="R97" s="26">
        <v>0.36</v>
      </c>
      <c r="S97" s="26">
        <v>0</v>
      </c>
      <c r="T97" s="26">
        <v>0</v>
      </c>
      <c r="U97" s="23">
        <v>0</v>
      </c>
      <c r="V97" s="15">
        <f t="shared" si="112"/>
        <v>0.36</v>
      </c>
      <c r="W97" s="26">
        <v>0.34</v>
      </c>
      <c r="X97" s="26">
        <v>0</v>
      </c>
      <c r="Y97" s="26">
        <v>0</v>
      </c>
      <c r="Z97" s="23">
        <v>0</v>
      </c>
      <c r="AA97" s="15">
        <f t="shared" si="113"/>
        <v>0.34</v>
      </c>
      <c r="AB97" s="23">
        <v>0.36</v>
      </c>
      <c r="AC97" s="23">
        <v>0</v>
      </c>
      <c r="AD97" s="23">
        <v>0</v>
      </c>
      <c r="AE97" s="23">
        <v>0</v>
      </c>
      <c r="AF97" s="15">
        <f t="shared" si="114"/>
        <v>0.36</v>
      </c>
      <c r="AG97" s="1">
        <v>0.39</v>
      </c>
      <c r="AH97" s="26">
        <v>0</v>
      </c>
      <c r="AI97" s="26">
        <v>0</v>
      </c>
      <c r="AJ97" s="23">
        <v>0</v>
      </c>
      <c r="AK97" s="15">
        <f t="shared" si="106"/>
        <v>0.39</v>
      </c>
      <c r="AL97" s="26">
        <f t="shared" si="87"/>
        <v>0.4691200904714597</v>
      </c>
      <c r="AM97" s="26">
        <f t="shared" si="87"/>
        <v>0</v>
      </c>
      <c r="AN97" s="26">
        <f t="shared" si="88"/>
        <v>0</v>
      </c>
      <c r="AO97" s="23">
        <v>0</v>
      </c>
      <c r="AP97" s="15">
        <f t="shared" si="107"/>
        <v>0.4691200904714597</v>
      </c>
      <c r="AQ97" s="26">
        <f t="shared" si="89"/>
        <v>0.5642914340614116</v>
      </c>
      <c r="AR97" s="26">
        <f t="shared" si="89"/>
        <v>0</v>
      </c>
      <c r="AS97" s="26">
        <f t="shared" si="90"/>
        <v>0</v>
      </c>
      <c r="AT97" s="23">
        <v>0</v>
      </c>
      <c r="AU97" s="15">
        <f t="shared" si="108"/>
        <v>0.5642914340614116</v>
      </c>
      <c r="AV97" s="26">
        <f t="shared" si="91"/>
        <v>0.678770381023485</v>
      </c>
      <c r="AW97" s="26">
        <f t="shared" si="91"/>
        <v>0</v>
      </c>
      <c r="AX97" s="26">
        <f t="shared" si="92"/>
        <v>0</v>
      </c>
      <c r="AY97" s="26"/>
      <c r="AZ97" s="15">
        <f t="shared" si="115"/>
        <v>0.678770381023485</v>
      </c>
      <c r="BA97" s="26">
        <f t="shared" si="93"/>
        <v>0.816473903987396</v>
      </c>
      <c r="BB97" s="26">
        <f t="shared" si="93"/>
        <v>0</v>
      </c>
      <c r="BC97" s="26">
        <f t="shared" si="94"/>
        <v>0</v>
      </c>
      <c r="BD97" s="23">
        <v>0</v>
      </c>
      <c r="BE97" s="15">
        <f t="shared" si="109"/>
        <v>0.816473903987396</v>
      </c>
      <c r="BF97" s="26">
        <f t="shared" si="95"/>
        <v>0.982113619759367</v>
      </c>
      <c r="BG97" s="26">
        <f t="shared" si="95"/>
        <v>0</v>
      </c>
      <c r="BH97" s="26">
        <f t="shared" si="96"/>
        <v>0</v>
      </c>
      <c r="BI97" s="23">
        <v>0</v>
      </c>
      <c r="BJ97" s="15">
        <f t="shared" si="110"/>
        <v>0.982113619759367</v>
      </c>
      <c r="BK97" s="26">
        <f t="shared" si="97"/>
        <v>1.1813570003968383</v>
      </c>
      <c r="BL97" s="26">
        <f t="shared" si="97"/>
        <v>0</v>
      </c>
      <c r="BM97" s="26">
        <f t="shared" si="98"/>
        <v>0</v>
      </c>
      <c r="BN97" s="26">
        <f t="shared" si="99"/>
        <v>0</v>
      </c>
      <c r="BO97" s="15">
        <f t="shared" si="111"/>
        <v>1.1813570003968383</v>
      </c>
      <c r="BP97" s="20">
        <v>0.20287202684989666</v>
      </c>
      <c r="BQ97" s="18"/>
    </row>
    <row r="98" spans="1:69" s="16" customFormat="1" ht="15">
      <c r="A98" s="13" t="s">
        <v>78</v>
      </c>
      <c r="B98" s="14" t="s">
        <v>79</v>
      </c>
      <c r="C98" s="15">
        <f aca="true" t="shared" si="117" ref="C98:BN98">SUM(C100+C101+C102+C103+C106+C107+C108+C109+C110+C111+C112+C113+C114+C115+C122+C123+C124+C125+C126+C127+C130+C133+C136+C137+C138+C139+C140+C141+C142+C143+C144+C145+C146+C147+C148+C149+C150+C151+C152+C153+C154+C155+C156+C157+C158+C159+C160+C161+C162+C163+C164+C172)</f>
        <v>127.03</v>
      </c>
      <c r="D98" s="15">
        <f t="shared" si="117"/>
        <v>193.54000000000005</v>
      </c>
      <c r="E98" s="15">
        <f t="shared" si="117"/>
        <v>41.07</v>
      </c>
      <c r="F98" s="15">
        <f t="shared" si="117"/>
        <v>0.48000000000000004</v>
      </c>
      <c r="G98" s="15">
        <f t="shared" si="117"/>
        <v>320.57</v>
      </c>
      <c r="H98" s="15">
        <f t="shared" si="117"/>
        <v>151.33999999999997</v>
      </c>
      <c r="I98" s="15">
        <f t="shared" si="117"/>
        <v>242.81000000000003</v>
      </c>
      <c r="J98" s="15">
        <f t="shared" si="117"/>
        <v>48.89999999999999</v>
      </c>
      <c r="K98" s="15">
        <f t="shared" si="117"/>
        <v>0.62</v>
      </c>
      <c r="L98" s="15">
        <f t="shared" si="117"/>
        <v>394.1499999999999</v>
      </c>
      <c r="M98" s="15">
        <f t="shared" si="117"/>
        <v>224.96999999999997</v>
      </c>
      <c r="N98" s="15">
        <f t="shared" si="117"/>
        <v>255.15999999999994</v>
      </c>
      <c r="O98" s="15">
        <f t="shared" si="117"/>
        <v>30.15</v>
      </c>
      <c r="P98" s="15">
        <f>SUM(P100+P101+P102+P103+P106+P107+P108+P109+P110+P111+P112+P113+P114+P115+P122+P123+P124+P125+P126+P127+P130+P133+P136+P137+P138+P139+P140+P141+P142+P143+P144+P145+P146+P147+P148+P149+P150+P151+P152+P153+P154+P155+P156+P157+P158+P159+P160+P161+P162+P163+P164+P172)</f>
        <v>0.48000000000000004</v>
      </c>
      <c r="Q98" s="25">
        <f t="shared" si="116"/>
        <v>480.1299999999999</v>
      </c>
      <c r="R98" s="15">
        <f t="shared" si="117"/>
        <v>209.36000000000004</v>
      </c>
      <c r="S98" s="15">
        <f t="shared" si="117"/>
        <v>288.25</v>
      </c>
      <c r="T98" s="15">
        <f t="shared" si="117"/>
        <v>34.97</v>
      </c>
      <c r="U98" s="15">
        <f>SUM(U100+U101+U102+U103+U106+U107+U108+U109+U110+U111+U112+U113+U114+U115+U122+U123+U124+U125+U126+U127+U130+U133+U136+U137+U138+U139+U140+U141+U142+U143+U144+U145+U146+U147+U148+U149+U150+U151+U152+U153+U154+U155+U156+U157+U158+U159+U160+U161+U162+U163+U164+U172)</f>
        <v>1.08</v>
      </c>
      <c r="V98" s="15">
        <f t="shared" si="112"/>
        <v>497.61</v>
      </c>
      <c r="W98" s="15">
        <f t="shared" si="117"/>
        <v>253.21999999999997</v>
      </c>
      <c r="X98" s="15">
        <f t="shared" si="117"/>
        <v>360.80999999999995</v>
      </c>
      <c r="Y98" s="15">
        <f t="shared" si="117"/>
        <v>32.91</v>
      </c>
      <c r="Z98" s="15">
        <f>SUM(Z100+Z101+Z102+Z103+Z106+Z107+Z108+Z109+Z110+Z111+Z112+Z113+Z114+Z115+Z122+Z123+Z124+Z125+Z126+Z127+Z130+Z133+Z136+Z137+Z138+Z139+Z140+Z141+Z142+Z143+Z144+Z145+Z146+Z147+Z148+Z149+Z150+Z151+Z152+Z153+Z154+Z155+Z156+Z157+Z158+Z159+Z160+Z161+Z162+Z163+Z164+Z172)</f>
        <v>2.7</v>
      </c>
      <c r="AA98" s="15">
        <f t="shared" si="113"/>
        <v>614.03</v>
      </c>
      <c r="AB98" s="15">
        <f t="shared" si="117"/>
        <v>295.35</v>
      </c>
      <c r="AC98" s="15">
        <f t="shared" si="117"/>
        <v>519.18</v>
      </c>
      <c r="AD98" s="15">
        <f t="shared" si="117"/>
        <v>0</v>
      </c>
      <c r="AE98" s="15">
        <f>SUM(AE100+AE101+AE102+AE103+AE106+AE107+AE108+AE109+AE110+AE111+AE112+AE113+AE114+AE115+AE122+AE123+AE124+AE125+AE126+AE127+AE130+AE133+AE136+AE137+AE138+AE139+AE140+AE141+AE142+AE143+AE144+AE145+AE146+AE147+AE148+AE149+AE150+AE151+AE152+AE153+AE154+AE155+AE156+AE157+AE158+AE159+AE160+AE161+AE162+AE163+AE164+AE172)</f>
        <v>4.09</v>
      </c>
      <c r="AF98" s="15">
        <f t="shared" si="114"/>
        <v>814.53</v>
      </c>
      <c r="AG98" s="15">
        <f t="shared" si="117"/>
        <v>322.62</v>
      </c>
      <c r="AH98" s="15">
        <f t="shared" si="117"/>
        <v>525.48</v>
      </c>
      <c r="AI98" s="15">
        <f t="shared" si="117"/>
        <v>34.79</v>
      </c>
      <c r="AJ98" s="15">
        <f t="shared" si="117"/>
        <v>6.68</v>
      </c>
      <c r="AK98" s="15">
        <f t="shared" si="106"/>
        <v>848.1</v>
      </c>
      <c r="AL98" s="15">
        <f t="shared" si="117"/>
        <v>385.6544846727498</v>
      </c>
      <c r="AM98" s="15">
        <f t="shared" si="117"/>
        <v>575.8811250000001</v>
      </c>
      <c r="AN98" s="15">
        <f t="shared" si="117"/>
        <v>36.536</v>
      </c>
      <c r="AO98" s="15">
        <f t="shared" si="117"/>
        <v>0</v>
      </c>
      <c r="AP98" s="15">
        <f t="shared" si="107"/>
        <v>961.5356096727498</v>
      </c>
      <c r="AQ98" s="15">
        <f t="shared" si="117"/>
        <v>449.07542956913886</v>
      </c>
      <c r="AR98" s="15">
        <f t="shared" si="117"/>
        <v>631.9523765625</v>
      </c>
      <c r="AS98" s="15">
        <f t="shared" si="117"/>
        <v>38.478425</v>
      </c>
      <c r="AT98" s="15">
        <f t="shared" si="117"/>
        <v>0</v>
      </c>
      <c r="AU98" s="15">
        <f t="shared" si="108"/>
        <v>1081.027806131639</v>
      </c>
      <c r="AV98" s="15">
        <f t="shared" si="117"/>
        <v>532.2589044197912</v>
      </c>
      <c r="AW98" s="15">
        <f t="shared" si="117"/>
        <v>694.3316439257815</v>
      </c>
      <c r="AX98" s="15">
        <f t="shared" si="117"/>
        <v>40.63937281250001</v>
      </c>
      <c r="AY98" s="15">
        <f t="shared" si="117"/>
        <v>0</v>
      </c>
      <c r="AZ98" s="15">
        <f t="shared" si="115"/>
        <v>1226.5905483455726</v>
      </c>
      <c r="BA98" s="15">
        <f t="shared" si="117"/>
        <v>632.802804493006</v>
      </c>
      <c r="BB98" s="15">
        <f t="shared" si="117"/>
        <v>763.7285788674318</v>
      </c>
      <c r="BC98" s="15">
        <f t="shared" si="117"/>
        <v>43.043427253906245</v>
      </c>
      <c r="BD98" s="15">
        <f t="shared" si="117"/>
        <v>0</v>
      </c>
      <c r="BE98" s="15">
        <f t="shared" si="109"/>
        <v>1396.5313833604378</v>
      </c>
      <c r="BF98" s="15">
        <f t="shared" si="117"/>
        <v>754.7178587416495</v>
      </c>
      <c r="BG98" s="15">
        <f t="shared" si="117"/>
        <v>840.9326689900176</v>
      </c>
      <c r="BH98" s="15">
        <f t="shared" si="117"/>
        <v>45.7179378199707</v>
      </c>
      <c r="BI98" s="15">
        <f t="shared" si="117"/>
        <v>0</v>
      </c>
      <c r="BJ98" s="15">
        <f t="shared" si="110"/>
        <v>1595.6505277316671</v>
      </c>
      <c r="BK98" s="15">
        <f t="shared" si="117"/>
        <v>903.0136535867074</v>
      </c>
      <c r="BL98" s="15">
        <f t="shared" si="117"/>
        <v>926.8222192513948</v>
      </c>
      <c r="BM98" s="15">
        <f t="shared" si="117"/>
        <v>48.69333082471741</v>
      </c>
      <c r="BN98" s="15">
        <f t="shared" si="117"/>
        <v>0</v>
      </c>
      <c r="BO98" s="15">
        <f t="shared" si="111"/>
        <v>1829.8358728381022</v>
      </c>
      <c r="BP98" s="17">
        <v>0.19267753075511138</v>
      </c>
      <c r="BQ98" s="18">
        <v>9.922567512880164</v>
      </c>
    </row>
    <row r="99" spans="1:69" s="19" customFormat="1" ht="15">
      <c r="A99" s="21"/>
      <c r="B99" s="2" t="s">
        <v>147</v>
      </c>
      <c r="C99" s="1">
        <v>127.03</v>
      </c>
      <c r="D99" s="1">
        <v>152.47</v>
      </c>
      <c r="E99" s="1">
        <v>41.07</v>
      </c>
      <c r="F99" s="1">
        <v>41.07</v>
      </c>
      <c r="G99" s="1">
        <f>SUM(C99:E99)</f>
        <v>320.57</v>
      </c>
      <c r="H99" s="1">
        <v>151.34</v>
      </c>
      <c r="I99" s="1">
        <v>193.91</v>
      </c>
      <c r="J99" s="1">
        <v>48.9</v>
      </c>
      <c r="K99" s="1"/>
      <c r="L99" s="1">
        <f aca="true" t="shared" si="118" ref="L99:L163">H99+I99</f>
        <v>345.25</v>
      </c>
      <c r="M99" s="1">
        <v>224.97</v>
      </c>
      <c r="N99" s="1">
        <v>225.01</v>
      </c>
      <c r="O99" s="1">
        <v>30.15</v>
      </c>
      <c r="P99" s="1"/>
      <c r="Q99" s="23">
        <f t="shared" si="116"/>
        <v>449.98</v>
      </c>
      <c r="R99" s="26">
        <v>209.36</v>
      </c>
      <c r="S99" s="26">
        <v>253.28</v>
      </c>
      <c r="T99" s="26">
        <v>34.97</v>
      </c>
      <c r="U99" s="1">
        <v>41.07</v>
      </c>
      <c r="V99" s="1">
        <f t="shared" si="112"/>
        <v>462.64</v>
      </c>
      <c r="W99" s="1">
        <v>253.22</v>
      </c>
      <c r="X99" s="1">
        <v>327.9</v>
      </c>
      <c r="Y99" s="1">
        <v>32.9</v>
      </c>
      <c r="Z99" s="1"/>
      <c r="AA99" s="1">
        <f t="shared" si="113"/>
        <v>581.12</v>
      </c>
      <c r="AB99" s="1"/>
      <c r="AC99" s="1"/>
      <c r="AD99" s="26">
        <v>0</v>
      </c>
      <c r="AE99" s="1"/>
      <c r="AF99" s="1">
        <f t="shared" si="114"/>
        <v>0</v>
      </c>
      <c r="AG99" s="26">
        <v>0</v>
      </c>
      <c r="AH99" s="26">
        <v>0</v>
      </c>
      <c r="AI99" s="26">
        <v>0</v>
      </c>
      <c r="AJ99" s="1">
        <v>41.07</v>
      </c>
      <c r="AK99" s="15">
        <f t="shared" si="106"/>
        <v>0</v>
      </c>
      <c r="AL99" s="26">
        <f aca="true" t="shared" si="119" ref="AL99:AM130">AG99+(AG99*BP99)</f>
        <v>0</v>
      </c>
      <c r="AM99" s="26">
        <f>AH99+(AH99*BP99)</f>
        <v>0</v>
      </c>
      <c r="AN99" s="26">
        <f>AI99+(AI99*BP99)</f>
        <v>0</v>
      </c>
      <c r="AO99" s="1">
        <v>41.07</v>
      </c>
      <c r="AP99" s="1">
        <f t="shared" si="107"/>
        <v>0</v>
      </c>
      <c r="AQ99" s="26">
        <f aca="true" t="shared" si="120" ref="AQ99:AR130">AL99+(AL99*BP99)</f>
        <v>0</v>
      </c>
      <c r="AR99" s="26">
        <f t="shared" si="120"/>
        <v>0</v>
      </c>
      <c r="AS99" s="26">
        <f aca="true" t="shared" si="121" ref="AS99:AS162">AN99+(AN99*BQ99)</f>
        <v>0</v>
      </c>
      <c r="AT99" s="1">
        <v>41.07</v>
      </c>
      <c r="AU99" s="1">
        <f t="shared" si="108"/>
        <v>0</v>
      </c>
      <c r="AV99" s="26">
        <f aca="true" t="shared" si="122" ref="AV99:AW130">AQ99+(AQ99*BP99)</f>
        <v>0</v>
      </c>
      <c r="AW99" s="26">
        <f>AR99+(AR99*BP99)</f>
        <v>0</v>
      </c>
      <c r="AX99" s="26">
        <f>AS99+(AS99*BP99)</f>
        <v>0</v>
      </c>
      <c r="AY99" s="26"/>
      <c r="AZ99" s="15">
        <f t="shared" si="115"/>
        <v>0</v>
      </c>
      <c r="BA99" s="1">
        <f>+AW99+AX99</f>
        <v>0</v>
      </c>
      <c r="BB99" s="26">
        <f>AW99+(AW99*BP99)</f>
        <v>0</v>
      </c>
      <c r="BC99" s="26">
        <f>AX99+(AX99*BP99)</f>
        <v>0</v>
      </c>
      <c r="BD99" s="1">
        <v>41.07</v>
      </c>
      <c r="BE99" s="1">
        <f t="shared" si="109"/>
        <v>0</v>
      </c>
      <c r="BF99" s="26">
        <f aca="true" t="shared" si="123" ref="BF99:BG162">BA99+(BA99*BP99)</f>
        <v>0</v>
      </c>
      <c r="BG99" s="26">
        <f t="shared" si="123"/>
        <v>0</v>
      </c>
      <c r="BH99" s="26">
        <f aca="true" t="shared" si="124" ref="BH99:BH162">BC99+(BC99*BQ99)</f>
        <v>0</v>
      </c>
      <c r="BI99" s="1">
        <v>41.07</v>
      </c>
      <c r="BJ99" s="1">
        <f t="shared" si="110"/>
        <v>0</v>
      </c>
      <c r="BK99" s="26">
        <f aca="true" t="shared" si="125" ref="BK99:BL162">BF99+(BF99*BP99)</f>
        <v>0</v>
      </c>
      <c r="BL99" s="26">
        <f>BG99+(BG99*BP99)</f>
        <v>0</v>
      </c>
      <c r="BM99" s="26">
        <f>BH99+(BH99*BP99)</f>
        <v>0</v>
      </c>
      <c r="BN99" s="26">
        <f aca="true" t="shared" si="126" ref="BN99:BN162">BI99+(BI99*BU99)</f>
        <v>41.07</v>
      </c>
      <c r="BO99" s="1">
        <f t="shared" si="111"/>
        <v>0</v>
      </c>
      <c r="BP99" s="20"/>
      <c r="BQ99" s="18"/>
    </row>
    <row r="100" spans="1:69" s="19" customFormat="1" ht="15">
      <c r="A100" s="21">
        <v>2401</v>
      </c>
      <c r="B100" s="2" t="s">
        <v>185</v>
      </c>
      <c r="C100" s="1">
        <v>12.68</v>
      </c>
      <c r="D100" s="1">
        <f>16.62+E100</f>
        <v>17.87</v>
      </c>
      <c r="E100" s="1">
        <v>1.25</v>
      </c>
      <c r="F100" s="23">
        <v>0.14</v>
      </c>
      <c r="G100" s="15">
        <f aca="true" t="shared" si="127" ref="G100:G163">C100+D100</f>
        <v>30.55</v>
      </c>
      <c r="H100" s="26">
        <v>14.15</v>
      </c>
      <c r="I100" s="26">
        <f>24.79+J100</f>
        <v>25.59</v>
      </c>
      <c r="J100" s="26">
        <v>0.8</v>
      </c>
      <c r="K100" s="23">
        <v>0.29</v>
      </c>
      <c r="L100" s="15">
        <f t="shared" si="118"/>
        <v>39.74</v>
      </c>
      <c r="M100" s="26">
        <v>25.8</v>
      </c>
      <c r="N100" s="26">
        <f>16.18+O100</f>
        <v>16.78</v>
      </c>
      <c r="O100" s="26">
        <v>0.6</v>
      </c>
      <c r="P100" s="23">
        <v>0</v>
      </c>
      <c r="Q100" s="25">
        <f t="shared" si="116"/>
        <v>42.58</v>
      </c>
      <c r="R100" s="26">
        <v>22.54</v>
      </c>
      <c r="S100" s="26">
        <f>25.68+T100</f>
        <v>26.34</v>
      </c>
      <c r="T100" s="26">
        <v>0.66</v>
      </c>
      <c r="U100" s="23">
        <v>0</v>
      </c>
      <c r="V100" s="15">
        <f t="shared" si="112"/>
        <v>48.879999999999995</v>
      </c>
      <c r="W100" s="26">
        <v>22.67</v>
      </c>
      <c r="X100" s="26">
        <f>30.65+Y100</f>
        <v>31.849999999999998</v>
      </c>
      <c r="Y100" s="26">
        <v>1.2</v>
      </c>
      <c r="Z100" s="23">
        <v>0</v>
      </c>
      <c r="AA100" s="15">
        <f t="shared" si="113"/>
        <v>54.519999999999996</v>
      </c>
      <c r="AB100" s="1">
        <v>26.54</v>
      </c>
      <c r="AC100" s="1">
        <v>28.64</v>
      </c>
      <c r="AD100" s="26">
        <v>0</v>
      </c>
      <c r="AE100" s="23">
        <v>0</v>
      </c>
      <c r="AF100" s="15">
        <f t="shared" si="114"/>
        <v>55.18</v>
      </c>
      <c r="AG100" s="1">
        <v>29.75</v>
      </c>
      <c r="AH100" s="1">
        <v>25.47</v>
      </c>
      <c r="AI100" s="1">
        <v>1.27</v>
      </c>
      <c r="AJ100" s="23">
        <v>2.11</v>
      </c>
      <c r="AK100" s="15">
        <f t="shared" si="106"/>
        <v>55.22</v>
      </c>
      <c r="AL100" s="26">
        <f t="shared" si="119"/>
        <v>33.93700705108864</v>
      </c>
      <c r="AM100" s="26">
        <f t="shared" si="119"/>
        <v>28.335375</v>
      </c>
      <c r="AN100" s="26">
        <f aca="true" t="shared" si="128" ref="AN100:AN163">AI100+(AI100*BQ100)</f>
        <v>1.412875</v>
      </c>
      <c r="AO100" s="23">
        <v>0</v>
      </c>
      <c r="AP100" s="15">
        <f t="shared" si="107"/>
        <v>62.27238205108864</v>
      </c>
      <c r="AQ100" s="26">
        <f t="shared" si="120"/>
        <v>38.71329235581984</v>
      </c>
      <c r="AR100" s="26">
        <f t="shared" si="120"/>
        <v>31.5231046875</v>
      </c>
      <c r="AS100" s="26">
        <f t="shared" si="121"/>
        <v>1.5718234375000002</v>
      </c>
      <c r="AT100" s="23">
        <v>0</v>
      </c>
      <c r="AU100" s="15">
        <f t="shared" si="108"/>
        <v>70.23639704331984</v>
      </c>
      <c r="AV100" s="26">
        <f t="shared" si="122"/>
        <v>44.16179077816181</v>
      </c>
      <c r="AW100" s="26">
        <f t="shared" si="122"/>
        <v>35.069453964843746</v>
      </c>
      <c r="AX100" s="26">
        <f aca="true" t="shared" si="129" ref="AX100:AX163">AS100+(AS100*BQ100)</f>
        <v>1.7486535742187503</v>
      </c>
      <c r="AY100" s="26"/>
      <c r="AZ100" s="15">
        <f t="shared" si="115"/>
        <v>79.23124474300556</v>
      </c>
      <c r="BA100" s="26">
        <f aca="true" t="shared" si="130" ref="BA100:BB131">AV100+(AV100*BP100)</f>
        <v>50.37710941267827</v>
      </c>
      <c r="BB100" s="26">
        <f t="shared" si="130"/>
        <v>39.014767535888666</v>
      </c>
      <c r="BC100" s="26">
        <f aca="true" t="shared" si="131" ref="BC100:BC163">AX100+(AX100*BQ100)</f>
        <v>1.9453771013183598</v>
      </c>
      <c r="BD100" s="23">
        <v>0</v>
      </c>
      <c r="BE100" s="15">
        <f t="shared" si="109"/>
        <v>89.39187694856693</v>
      </c>
      <c r="BF100" s="26">
        <f t="shared" si="123"/>
        <v>57.46717033114375</v>
      </c>
      <c r="BG100" s="26">
        <f t="shared" si="123"/>
        <v>43.403928883676144</v>
      </c>
      <c r="BH100" s="26">
        <f t="shared" si="124"/>
        <v>2.164232025216675</v>
      </c>
      <c r="BI100" s="23">
        <v>0</v>
      </c>
      <c r="BJ100" s="15">
        <f t="shared" si="110"/>
        <v>100.87109921481989</v>
      </c>
      <c r="BK100" s="26">
        <f t="shared" si="125"/>
        <v>65.55508452887857</v>
      </c>
      <c r="BL100" s="26">
        <f t="shared" si="125"/>
        <v>48.28687088308971</v>
      </c>
      <c r="BM100" s="26">
        <f aca="true" t="shared" si="132" ref="BM100:BM163">BH100+(BH100*BQ100)</f>
        <v>2.4077081280535513</v>
      </c>
      <c r="BN100" s="26">
        <f t="shared" si="126"/>
        <v>0</v>
      </c>
      <c r="BO100" s="15">
        <f t="shared" si="111"/>
        <v>113.84195541196829</v>
      </c>
      <c r="BP100" s="20">
        <v>0.14073973280970223</v>
      </c>
      <c r="BQ100" s="18">
        <v>0.1125</v>
      </c>
    </row>
    <row r="101" spans="1:69" s="19" customFormat="1" ht="15">
      <c r="A101" s="21">
        <v>2402</v>
      </c>
      <c r="B101" s="2" t="s">
        <v>186</v>
      </c>
      <c r="C101" s="31">
        <v>2.96</v>
      </c>
      <c r="D101" s="31">
        <v>1.64</v>
      </c>
      <c r="E101" s="40">
        <v>0</v>
      </c>
      <c r="F101" s="23">
        <v>0</v>
      </c>
      <c r="G101" s="15">
        <f t="shared" si="127"/>
        <v>4.6</v>
      </c>
      <c r="H101" s="26">
        <v>3.11</v>
      </c>
      <c r="I101" s="26">
        <v>1.64</v>
      </c>
      <c r="J101" s="26">
        <v>0</v>
      </c>
      <c r="K101" s="23">
        <v>0</v>
      </c>
      <c r="L101" s="15">
        <f t="shared" si="118"/>
        <v>4.75</v>
      </c>
      <c r="M101" s="26">
        <v>5.75</v>
      </c>
      <c r="N101" s="26">
        <v>1.79</v>
      </c>
      <c r="O101" s="26">
        <v>0</v>
      </c>
      <c r="P101" s="23">
        <v>0</v>
      </c>
      <c r="Q101" s="25">
        <f t="shared" si="116"/>
        <v>7.54</v>
      </c>
      <c r="R101" s="26">
        <v>5.49</v>
      </c>
      <c r="S101" s="26">
        <v>1.31</v>
      </c>
      <c r="T101" s="26">
        <v>0</v>
      </c>
      <c r="U101" s="23">
        <v>0</v>
      </c>
      <c r="V101" s="15">
        <f t="shared" si="112"/>
        <v>6.800000000000001</v>
      </c>
      <c r="W101" s="26">
        <v>5.14</v>
      </c>
      <c r="X101" s="26">
        <v>2.44</v>
      </c>
      <c r="Y101" s="26">
        <v>0</v>
      </c>
      <c r="Z101" s="23">
        <v>0</v>
      </c>
      <c r="AA101" s="15">
        <f t="shared" si="113"/>
        <v>7.58</v>
      </c>
      <c r="AB101" s="1">
        <v>5.46</v>
      </c>
      <c r="AC101" s="1">
        <v>0.91</v>
      </c>
      <c r="AD101" s="26">
        <v>0</v>
      </c>
      <c r="AE101" s="23">
        <v>0</v>
      </c>
      <c r="AF101" s="15">
        <f t="shared" si="114"/>
        <v>6.37</v>
      </c>
      <c r="AG101" s="1">
        <v>6.46</v>
      </c>
      <c r="AH101" s="1">
        <v>0.83</v>
      </c>
      <c r="AI101" s="26">
        <v>0</v>
      </c>
      <c r="AJ101" s="23">
        <v>0</v>
      </c>
      <c r="AK101" s="15">
        <f t="shared" si="106"/>
        <v>7.29</v>
      </c>
      <c r="AL101" s="26">
        <f t="shared" si="119"/>
        <v>7.28228374484018</v>
      </c>
      <c r="AM101" s="26">
        <f t="shared" si="119"/>
        <v>0.923375</v>
      </c>
      <c r="AN101" s="26">
        <f t="shared" si="128"/>
        <v>0</v>
      </c>
      <c r="AO101" s="23">
        <v>0</v>
      </c>
      <c r="AP101" s="15">
        <f t="shared" si="107"/>
        <v>8.20565874484018</v>
      </c>
      <c r="AQ101" s="26">
        <f t="shared" si="120"/>
        <v>8.209234758570204</v>
      </c>
      <c r="AR101" s="26">
        <f t="shared" si="120"/>
        <v>1.0272546875</v>
      </c>
      <c r="AS101" s="26">
        <f t="shared" si="121"/>
        <v>0</v>
      </c>
      <c r="AT101" s="23">
        <v>0</v>
      </c>
      <c r="AU101" s="15">
        <f t="shared" si="108"/>
        <v>9.236489446070204</v>
      </c>
      <c r="AV101" s="26">
        <f t="shared" si="122"/>
        <v>9.25417598141065</v>
      </c>
      <c r="AW101" s="26">
        <f t="shared" si="122"/>
        <v>1.1428208398437498</v>
      </c>
      <c r="AX101" s="26">
        <f t="shared" si="129"/>
        <v>0</v>
      </c>
      <c r="AY101" s="26"/>
      <c r="AZ101" s="15">
        <f t="shared" si="115"/>
        <v>10.396996821254401</v>
      </c>
      <c r="BA101" s="26">
        <f t="shared" si="130"/>
        <v>10.432126210730218</v>
      </c>
      <c r="BB101" s="26">
        <f t="shared" si="130"/>
        <v>1.2713881843261716</v>
      </c>
      <c r="BC101" s="26">
        <f t="shared" si="131"/>
        <v>0</v>
      </c>
      <c r="BD101" s="23">
        <v>0</v>
      </c>
      <c r="BE101" s="15">
        <f t="shared" si="109"/>
        <v>11.70351439505639</v>
      </c>
      <c r="BF101" s="26">
        <f t="shared" si="123"/>
        <v>11.760015964167469</v>
      </c>
      <c r="BG101" s="26">
        <f t="shared" si="123"/>
        <v>1.4144193550628659</v>
      </c>
      <c r="BH101" s="26">
        <f t="shared" si="124"/>
        <v>0</v>
      </c>
      <c r="BI101" s="23">
        <v>0</v>
      </c>
      <c r="BJ101" s="15">
        <f t="shared" si="110"/>
        <v>13.174435319230334</v>
      </c>
      <c r="BK101" s="26">
        <f t="shared" si="125"/>
        <v>13.256930819646714</v>
      </c>
      <c r="BL101" s="26">
        <f t="shared" si="125"/>
        <v>1.5735415325074382</v>
      </c>
      <c r="BM101" s="26">
        <f t="shared" si="132"/>
        <v>0</v>
      </c>
      <c r="BN101" s="26">
        <f t="shared" si="126"/>
        <v>0</v>
      </c>
      <c r="BO101" s="15">
        <f t="shared" si="111"/>
        <v>14.830472352154151</v>
      </c>
      <c r="BP101" s="20">
        <v>0.1272885053932167</v>
      </c>
      <c r="BQ101" s="18">
        <v>0.1125</v>
      </c>
    </row>
    <row r="102" spans="1:69" s="19" customFormat="1" ht="15">
      <c r="A102" s="21">
        <v>2403</v>
      </c>
      <c r="B102" s="2" t="s">
        <v>187</v>
      </c>
      <c r="C102" s="31">
        <v>7.37</v>
      </c>
      <c r="D102" s="31">
        <f>7.86+E102</f>
        <v>11.48</v>
      </c>
      <c r="E102" s="31">
        <v>3.62</v>
      </c>
      <c r="F102" s="23">
        <v>0</v>
      </c>
      <c r="G102" s="15">
        <f t="shared" si="127"/>
        <v>18.85</v>
      </c>
      <c r="H102" s="26">
        <v>8.89</v>
      </c>
      <c r="I102" s="26">
        <f>10.79+J102</f>
        <v>14.469999999999999</v>
      </c>
      <c r="J102" s="26">
        <v>3.68</v>
      </c>
      <c r="K102" s="23">
        <v>0</v>
      </c>
      <c r="L102" s="15">
        <f t="shared" si="118"/>
        <v>23.36</v>
      </c>
      <c r="M102" s="26">
        <v>15.64</v>
      </c>
      <c r="N102" s="26">
        <f>12.71+O102</f>
        <v>15.670000000000002</v>
      </c>
      <c r="O102" s="26">
        <v>2.96</v>
      </c>
      <c r="P102" s="23">
        <v>0.14</v>
      </c>
      <c r="Q102" s="25">
        <f t="shared" si="116"/>
        <v>31.310000000000002</v>
      </c>
      <c r="R102" s="26">
        <v>16.41</v>
      </c>
      <c r="S102" s="26">
        <f>8.51+T102</f>
        <v>12.05</v>
      </c>
      <c r="T102" s="26">
        <v>3.54</v>
      </c>
      <c r="U102" s="23">
        <v>0.71</v>
      </c>
      <c r="V102" s="15">
        <f t="shared" si="112"/>
        <v>28.46</v>
      </c>
      <c r="W102" s="26">
        <v>18.23</v>
      </c>
      <c r="X102" s="26">
        <f>11.6+Y102</f>
        <v>14.7</v>
      </c>
      <c r="Y102" s="26">
        <v>3.1</v>
      </c>
      <c r="Z102" s="23">
        <v>0.5</v>
      </c>
      <c r="AA102" s="15">
        <f t="shared" si="113"/>
        <v>32.93</v>
      </c>
      <c r="AB102" s="1">
        <v>18.45</v>
      </c>
      <c r="AC102" s="1">
        <v>14.24</v>
      </c>
      <c r="AD102" s="26">
        <v>0</v>
      </c>
      <c r="AE102" s="23">
        <v>1.85</v>
      </c>
      <c r="AF102" s="15">
        <f t="shared" si="114"/>
        <v>32.69</v>
      </c>
      <c r="AG102" s="1">
        <v>21.13</v>
      </c>
      <c r="AH102" s="1">
        <v>14.28</v>
      </c>
      <c r="AI102" s="1">
        <v>4.47</v>
      </c>
      <c r="AJ102" s="23">
        <v>0.61</v>
      </c>
      <c r="AK102" s="15">
        <f t="shared" si="106"/>
        <v>35.41</v>
      </c>
      <c r="AL102" s="26">
        <f t="shared" si="119"/>
        <v>25.0574266243065</v>
      </c>
      <c r="AM102" s="26">
        <f t="shared" si="119"/>
        <v>15.8865</v>
      </c>
      <c r="AN102" s="26">
        <f t="shared" si="128"/>
        <v>4.972875</v>
      </c>
      <c r="AO102" s="23">
        <v>0</v>
      </c>
      <c r="AP102" s="15">
        <f t="shared" si="107"/>
        <v>40.9439266243065</v>
      </c>
      <c r="AQ102" s="26">
        <f t="shared" si="120"/>
        <v>29.714842831637686</v>
      </c>
      <c r="AR102" s="26">
        <f t="shared" si="120"/>
        <v>17.67373125</v>
      </c>
      <c r="AS102" s="26">
        <f t="shared" si="121"/>
        <v>5.5323234375000006</v>
      </c>
      <c r="AT102" s="23">
        <v>0</v>
      </c>
      <c r="AU102" s="15">
        <f t="shared" si="108"/>
        <v>47.388574081637685</v>
      </c>
      <c r="AV102" s="26">
        <f t="shared" si="122"/>
        <v>35.237931562071054</v>
      </c>
      <c r="AW102" s="26">
        <f t="shared" si="122"/>
        <v>19.662026015625</v>
      </c>
      <c r="AX102" s="26">
        <f t="shared" si="129"/>
        <v>6.154709824218751</v>
      </c>
      <c r="AY102" s="26"/>
      <c r="AZ102" s="15">
        <f t="shared" si="115"/>
        <v>54.89995757769606</v>
      </c>
      <c r="BA102" s="26">
        <f t="shared" si="130"/>
        <v>41.78759510217367</v>
      </c>
      <c r="BB102" s="26">
        <f t="shared" si="130"/>
        <v>21.87400394238281</v>
      </c>
      <c r="BC102" s="26">
        <f t="shared" si="131"/>
        <v>6.84711467944336</v>
      </c>
      <c r="BD102" s="23">
        <v>0</v>
      </c>
      <c r="BE102" s="15">
        <f t="shared" si="109"/>
        <v>63.66159904455648</v>
      </c>
      <c r="BF102" s="26">
        <f t="shared" si="123"/>
        <v>49.55464259720523</v>
      </c>
      <c r="BG102" s="26">
        <f t="shared" si="123"/>
        <v>24.334829385900875</v>
      </c>
      <c r="BH102" s="26">
        <f t="shared" si="124"/>
        <v>7.617415080880738</v>
      </c>
      <c r="BI102" s="23">
        <v>0</v>
      </c>
      <c r="BJ102" s="15">
        <f t="shared" si="110"/>
        <v>73.8894719831061</v>
      </c>
      <c r="BK102" s="26">
        <f t="shared" si="125"/>
        <v>58.76534882977773</v>
      </c>
      <c r="BL102" s="26">
        <f t="shared" si="125"/>
        <v>27.072497691814725</v>
      </c>
      <c r="BM102" s="26">
        <f t="shared" si="132"/>
        <v>8.474374277479821</v>
      </c>
      <c r="BN102" s="26">
        <f t="shared" si="126"/>
        <v>0</v>
      </c>
      <c r="BO102" s="15">
        <f t="shared" si="111"/>
        <v>85.83784652159245</v>
      </c>
      <c r="BP102" s="20">
        <v>0.18586969353083305</v>
      </c>
      <c r="BQ102" s="18">
        <v>0.1125</v>
      </c>
    </row>
    <row r="103" spans="1:69" s="19" customFormat="1" ht="15">
      <c r="A103" s="21">
        <v>2404</v>
      </c>
      <c r="B103" s="2" t="s">
        <v>188</v>
      </c>
      <c r="C103" s="31">
        <v>0.2</v>
      </c>
      <c r="D103" s="31">
        <f>0.85+E103</f>
        <v>1.6</v>
      </c>
      <c r="E103" s="31">
        <v>0.75</v>
      </c>
      <c r="F103" s="23">
        <v>0</v>
      </c>
      <c r="G103" s="15">
        <f t="shared" si="127"/>
        <v>1.8</v>
      </c>
      <c r="H103" s="26">
        <v>0.28</v>
      </c>
      <c r="I103" s="26">
        <f>0.95+J103</f>
        <v>3.2800000000000002</v>
      </c>
      <c r="J103" s="26">
        <v>2.33</v>
      </c>
      <c r="K103" s="23">
        <v>0</v>
      </c>
      <c r="L103" s="15">
        <f t="shared" si="118"/>
        <v>3.5600000000000005</v>
      </c>
      <c r="M103" s="26">
        <v>0.37</v>
      </c>
      <c r="N103" s="26">
        <f>0.94+O103</f>
        <v>1.03</v>
      </c>
      <c r="O103" s="26">
        <v>0.09</v>
      </c>
      <c r="P103" s="23">
        <v>0</v>
      </c>
      <c r="Q103" s="25">
        <f t="shared" si="116"/>
        <v>1.4</v>
      </c>
      <c r="R103" s="26">
        <v>0.41</v>
      </c>
      <c r="S103" s="26">
        <v>0.63</v>
      </c>
      <c r="T103" s="26">
        <v>0</v>
      </c>
      <c r="U103" s="23">
        <v>0</v>
      </c>
      <c r="V103" s="15">
        <f t="shared" si="112"/>
        <v>1.04</v>
      </c>
      <c r="W103" s="26">
        <v>0.44</v>
      </c>
      <c r="X103" s="26">
        <f>0.91+Y103</f>
        <v>1.8900000000000001</v>
      </c>
      <c r="Y103" s="26">
        <v>0.98</v>
      </c>
      <c r="Z103" s="23">
        <v>0</v>
      </c>
      <c r="AA103" s="15">
        <f t="shared" si="113"/>
        <v>2.33</v>
      </c>
      <c r="AB103" s="1">
        <v>0.5</v>
      </c>
      <c r="AC103" s="1">
        <v>2.39</v>
      </c>
      <c r="AD103" s="26">
        <v>0</v>
      </c>
      <c r="AE103" s="23"/>
      <c r="AF103" s="15">
        <f t="shared" si="114"/>
        <v>2.89</v>
      </c>
      <c r="AG103" s="1">
        <v>0.55</v>
      </c>
      <c r="AH103" s="1">
        <v>1.91</v>
      </c>
      <c r="AI103" s="1">
        <v>0.66</v>
      </c>
      <c r="AJ103" s="23">
        <v>0</v>
      </c>
      <c r="AK103" s="15">
        <f t="shared" si="106"/>
        <v>2.46</v>
      </c>
      <c r="AL103" s="26">
        <f t="shared" si="119"/>
        <v>0.6428477868161446</v>
      </c>
      <c r="AM103" s="26">
        <f t="shared" si="119"/>
        <v>2.124875</v>
      </c>
      <c r="AN103" s="26">
        <f t="shared" si="128"/>
        <v>0.7342500000000001</v>
      </c>
      <c r="AO103" s="23">
        <v>0</v>
      </c>
      <c r="AP103" s="15">
        <f t="shared" si="107"/>
        <v>2.7677227868161447</v>
      </c>
      <c r="AQ103" s="26">
        <f t="shared" si="120"/>
        <v>0.7513695945716642</v>
      </c>
      <c r="AR103" s="26">
        <f t="shared" si="120"/>
        <v>2.3639234375</v>
      </c>
      <c r="AS103" s="26">
        <f t="shared" si="121"/>
        <v>0.8168531250000001</v>
      </c>
      <c r="AT103" s="23">
        <v>0</v>
      </c>
      <c r="AU103" s="15">
        <f t="shared" si="108"/>
        <v>3.1152930320716643</v>
      </c>
      <c r="AV103" s="26">
        <f t="shared" si="122"/>
        <v>0.8782114199115238</v>
      </c>
      <c r="AW103" s="26">
        <f t="shared" si="122"/>
        <v>2.62986482421875</v>
      </c>
      <c r="AX103" s="26">
        <f t="shared" si="129"/>
        <v>0.9087491015625001</v>
      </c>
      <c r="AY103" s="26"/>
      <c r="AZ103" s="15">
        <f t="shared" si="115"/>
        <v>3.508076244130274</v>
      </c>
      <c r="BA103" s="26">
        <f t="shared" si="130"/>
        <v>1.0264659411759762</v>
      </c>
      <c r="BB103" s="26">
        <f t="shared" si="130"/>
        <v>2.9257246169433593</v>
      </c>
      <c r="BC103" s="26">
        <f t="shared" si="131"/>
        <v>1.0109833754882813</v>
      </c>
      <c r="BD103" s="23">
        <v>0</v>
      </c>
      <c r="BE103" s="15">
        <f t="shared" si="109"/>
        <v>3.9521905581193355</v>
      </c>
      <c r="BF103" s="26">
        <f t="shared" si="123"/>
        <v>1.1997479245947766</v>
      </c>
      <c r="BG103" s="26">
        <f t="shared" si="123"/>
        <v>3.254868636349487</v>
      </c>
      <c r="BH103" s="26">
        <f t="shared" si="124"/>
        <v>1.124719005230713</v>
      </c>
      <c r="BI103" s="23">
        <v>0</v>
      </c>
      <c r="BJ103" s="15">
        <f t="shared" si="110"/>
        <v>4.454616560944263</v>
      </c>
      <c r="BK103" s="26">
        <f t="shared" si="125"/>
        <v>1.4022823601145724</v>
      </c>
      <c r="BL103" s="26">
        <f t="shared" si="125"/>
        <v>3.6210413579388043</v>
      </c>
      <c r="BM103" s="26">
        <f t="shared" si="132"/>
        <v>1.2512498933191682</v>
      </c>
      <c r="BN103" s="26">
        <f t="shared" si="126"/>
        <v>0</v>
      </c>
      <c r="BO103" s="15">
        <f t="shared" si="111"/>
        <v>5.023323718053376</v>
      </c>
      <c r="BP103" s="20">
        <v>0.16881415784753556</v>
      </c>
      <c r="BQ103" s="18">
        <v>0.1125</v>
      </c>
    </row>
    <row r="104" spans="1:69" s="19" customFormat="1" ht="30">
      <c r="A104" s="21">
        <v>192</v>
      </c>
      <c r="B104" s="2" t="s">
        <v>80</v>
      </c>
      <c r="C104" s="44">
        <v>0</v>
      </c>
      <c r="D104" s="44">
        <v>0</v>
      </c>
      <c r="E104" s="44">
        <v>0</v>
      </c>
      <c r="F104" s="23">
        <v>0</v>
      </c>
      <c r="G104" s="15">
        <f t="shared" si="127"/>
        <v>0</v>
      </c>
      <c r="H104" s="26">
        <v>0</v>
      </c>
      <c r="I104" s="26">
        <v>0</v>
      </c>
      <c r="J104" s="26">
        <v>0</v>
      </c>
      <c r="K104" s="23">
        <v>0</v>
      </c>
      <c r="L104" s="15">
        <f t="shared" si="118"/>
        <v>0</v>
      </c>
      <c r="M104" s="26">
        <v>0</v>
      </c>
      <c r="N104" s="26">
        <v>0</v>
      </c>
      <c r="O104" s="26">
        <v>0</v>
      </c>
      <c r="P104" s="23">
        <v>0</v>
      </c>
      <c r="Q104" s="25">
        <f t="shared" si="116"/>
        <v>0</v>
      </c>
      <c r="R104" s="26">
        <v>0</v>
      </c>
      <c r="S104" s="26">
        <v>0</v>
      </c>
      <c r="T104" s="26">
        <v>0</v>
      </c>
      <c r="U104" s="23">
        <v>0</v>
      </c>
      <c r="V104" s="15">
        <f t="shared" si="112"/>
        <v>0</v>
      </c>
      <c r="W104" s="26">
        <v>0</v>
      </c>
      <c r="X104" s="26">
        <v>0</v>
      </c>
      <c r="Y104" s="26">
        <v>0</v>
      </c>
      <c r="Z104" s="23">
        <v>0</v>
      </c>
      <c r="AA104" s="15">
        <f t="shared" si="113"/>
        <v>0</v>
      </c>
      <c r="AB104" s="26">
        <v>0</v>
      </c>
      <c r="AC104" s="26">
        <v>0</v>
      </c>
      <c r="AD104" s="26">
        <v>0</v>
      </c>
      <c r="AE104" s="23">
        <v>0</v>
      </c>
      <c r="AF104" s="15">
        <f t="shared" si="114"/>
        <v>0</v>
      </c>
      <c r="AG104" s="26">
        <v>0</v>
      </c>
      <c r="AH104" s="26">
        <v>0</v>
      </c>
      <c r="AI104" s="26">
        <v>0</v>
      </c>
      <c r="AJ104" s="23">
        <v>0</v>
      </c>
      <c r="AK104" s="15">
        <f t="shared" si="106"/>
        <v>0</v>
      </c>
      <c r="AL104" s="26">
        <f t="shared" si="119"/>
        <v>0</v>
      </c>
      <c r="AM104" s="26">
        <f t="shared" si="119"/>
        <v>0</v>
      </c>
      <c r="AN104" s="26">
        <f t="shared" si="128"/>
        <v>0</v>
      </c>
      <c r="AO104" s="23">
        <v>0</v>
      </c>
      <c r="AP104" s="15">
        <f t="shared" si="107"/>
        <v>0</v>
      </c>
      <c r="AQ104" s="26">
        <f t="shared" si="120"/>
        <v>0</v>
      </c>
      <c r="AR104" s="26">
        <f t="shared" si="120"/>
        <v>0</v>
      </c>
      <c r="AS104" s="26">
        <f t="shared" si="121"/>
        <v>0</v>
      </c>
      <c r="AT104" s="23">
        <v>0</v>
      </c>
      <c r="AU104" s="15">
        <f t="shared" si="108"/>
        <v>0</v>
      </c>
      <c r="AV104" s="26">
        <f t="shared" si="122"/>
        <v>0</v>
      </c>
      <c r="AW104" s="26">
        <f t="shared" si="122"/>
        <v>0</v>
      </c>
      <c r="AX104" s="26">
        <f t="shared" si="129"/>
        <v>0</v>
      </c>
      <c r="AY104" s="26"/>
      <c r="AZ104" s="15">
        <f t="shared" si="115"/>
        <v>0</v>
      </c>
      <c r="BA104" s="26">
        <f t="shared" si="130"/>
        <v>0</v>
      </c>
      <c r="BB104" s="26">
        <f t="shared" si="130"/>
        <v>0</v>
      </c>
      <c r="BC104" s="26">
        <f t="shared" si="131"/>
        <v>0</v>
      </c>
      <c r="BD104" s="23">
        <v>0</v>
      </c>
      <c r="BE104" s="15">
        <f t="shared" si="109"/>
        <v>0</v>
      </c>
      <c r="BF104" s="26">
        <f t="shared" si="123"/>
        <v>0</v>
      </c>
      <c r="BG104" s="26">
        <f t="shared" si="123"/>
        <v>0</v>
      </c>
      <c r="BH104" s="26">
        <f t="shared" si="124"/>
        <v>0</v>
      </c>
      <c r="BI104" s="23">
        <v>0</v>
      </c>
      <c r="BJ104" s="15">
        <f t="shared" si="110"/>
        <v>0</v>
      </c>
      <c r="BK104" s="26">
        <f t="shared" si="125"/>
        <v>0</v>
      </c>
      <c r="BL104" s="26">
        <f t="shared" si="125"/>
        <v>0</v>
      </c>
      <c r="BM104" s="26">
        <f t="shared" si="132"/>
        <v>0</v>
      </c>
      <c r="BN104" s="26">
        <f t="shared" si="126"/>
        <v>0</v>
      </c>
      <c r="BO104" s="15">
        <f t="shared" si="111"/>
        <v>0</v>
      </c>
      <c r="BP104" s="20"/>
      <c r="BQ104" s="18"/>
    </row>
    <row r="105" spans="1:69" s="19" customFormat="1" ht="15">
      <c r="A105" s="21">
        <v>800</v>
      </c>
      <c r="B105" s="2" t="s">
        <v>81</v>
      </c>
      <c r="C105" s="40">
        <v>0</v>
      </c>
      <c r="D105" s="40">
        <v>0</v>
      </c>
      <c r="E105" s="40">
        <v>0</v>
      </c>
      <c r="F105" s="23">
        <v>0</v>
      </c>
      <c r="G105" s="15">
        <f t="shared" si="127"/>
        <v>0</v>
      </c>
      <c r="H105" s="26">
        <v>0</v>
      </c>
      <c r="I105" s="26">
        <v>0</v>
      </c>
      <c r="J105" s="26">
        <v>0</v>
      </c>
      <c r="K105" s="23">
        <v>0</v>
      </c>
      <c r="L105" s="15">
        <f t="shared" si="118"/>
        <v>0</v>
      </c>
      <c r="M105" s="26">
        <v>0</v>
      </c>
      <c r="N105" s="26">
        <v>0</v>
      </c>
      <c r="O105" s="26">
        <v>0</v>
      </c>
      <c r="P105" s="23">
        <v>0</v>
      </c>
      <c r="Q105" s="25">
        <f t="shared" si="116"/>
        <v>0</v>
      </c>
      <c r="R105" s="26">
        <v>0</v>
      </c>
      <c r="S105" s="26">
        <v>0</v>
      </c>
      <c r="T105" s="26">
        <v>0</v>
      </c>
      <c r="U105" s="23">
        <v>0</v>
      </c>
      <c r="V105" s="15">
        <f t="shared" si="112"/>
        <v>0</v>
      </c>
      <c r="W105" s="26">
        <v>0</v>
      </c>
      <c r="X105" s="26">
        <v>0</v>
      </c>
      <c r="Y105" s="26">
        <v>0</v>
      </c>
      <c r="Z105" s="23">
        <v>0</v>
      </c>
      <c r="AA105" s="15">
        <f t="shared" si="113"/>
        <v>0</v>
      </c>
      <c r="AB105" s="26">
        <v>0</v>
      </c>
      <c r="AC105" s="26">
        <v>0</v>
      </c>
      <c r="AD105" s="26">
        <v>0</v>
      </c>
      <c r="AE105" s="23">
        <v>0</v>
      </c>
      <c r="AF105" s="15">
        <f t="shared" si="114"/>
        <v>0</v>
      </c>
      <c r="AG105" s="26">
        <v>0</v>
      </c>
      <c r="AH105" s="26">
        <v>0</v>
      </c>
      <c r="AI105" s="26">
        <v>0</v>
      </c>
      <c r="AJ105" s="23">
        <v>0</v>
      </c>
      <c r="AK105" s="15">
        <f t="shared" si="106"/>
        <v>0</v>
      </c>
      <c r="AL105" s="26">
        <f t="shared" si="119"/>
        <v>0</v>
      </c>
      <c r="AM105" s="26">
        <f t="shared" si="119"/>
        <v>0</v>
      </c>
      <c r="AN105" s="26">
        <f t="shared" si="128"/>
        <v>0</v>
      </c>
      <c r="AO105" s="23">
        <v>0</v>
      </c>
      <c r="AP105" s="15">
        <f t="shared" si="107"/>
        <v>0</v>
      </c>
      <c r="AQ105" s="26">
        <f t="shared" si="120"/>
        <v>0</v>
      </c>
      <c r="AR105" s="26">
        <f t="shared" si="120"/>
        <v>0</v>
      </c>
      <c r="AS105" s="26">
        <f t="shared" si="121"/>
        <v>0</v>
      </c>
      <c r="AT105" s="23">
        <v>0</v>
      </c>
      <c r="AU105" s="15">
        <f t="shared" si="108"/>
        <v>0</v>
      </c>
      <c r="AV105" s="26">
        <f t="shared" si="122"/>
        <v>0</v>
      </c>
      <c r="AW105" s="26">
        <f t="shared" si="122"/>
        <v>0</v>
      </c>
      <c r="AX105" s="26">
        <f t="shared" si="129"/>
        <v>0</v>
      </c>
      <c r="AY105" s="26"/>
      <c r="AZ105" s="15">
        <f t="shared" si="115"/>
        <v>0</v>
      </c>
      <c r="BA105" s="26">
        <f t="shared" si="130"/>
        <v>0</v>
      </c>
      <c r="BB105" s="26">
        <f t="shared" si="130"/>
        <v>0</v>
      </c>
      <c r="BC105" s="26">
        <f t="shared" si="131"/>
        <v>0</v>
      </c>
      <c r="BD105" s="23">
        <v>0</v>
      </c>
      <c r="BE105" s="15">
        <f t="shared" si="109"/>
        <v>0</v>
      </c>
      <c r="BF105" s="26">
        <f t="shared" si="123"/>
        <v>0</v>
      </c>
      <c r="BG105" s="26">
        <f t="shared" si="123"/>
        <v>0</v>
      </c>
      <c r="BH105" s="26">
        <f t="shared" si="124"/>
        <v>0</v>
      </c>
      <c r="BI105" s="23">
        <v>0</v>
      </c>
      <c r="BJ105" s="15">
        <f t="shared" si="110"/>
        <v>0</v>
      </c>
      <c r="BK105" s="26">
        <f t="shared" si="125"/>
        <v>0</v>
      </c>
      <c r="BL105" s="26">
        <f t="shared" si="125"/>
        <v>0</v>
      </c>
      <c r="BM105" s="26">
        <f t="shared" si="132"/>
        <v>0</v>
      </c>
      <c r="BN105" s="26">
        <f t="shared" si="126"/>
        <v>0</v>
      </c>
      <c r="BO105" s="15">
        <f t="shared" si="111"/>
        <v>0</v>
      </c>
      <c r="BP105" s="20"/>
      <c r="BQ105" s="18"/>
    </row>
    <row r="106" spans="1:69" s="19" customFormat="1" ht="15">
      <c r="A106" s="21">
        <v>2405</v>
      </c>
      <c r="B106" s="2" t="s">
        <v>189</v>
      </c>
      <c r="C106" s="31">
        <v>1.7</v>
      </c>
      <c r="D106" s="31">
        <v>0.66</v>
      </c>
      <c r="E106" s="40">
        <v>0</v>
      </c>
      <c r="F106" s="23">
        <v>0</v>
      </c>
      <c r="G106" s="15">
        <f t="shared" si="127"/>
        <v>2.36</v>
      </c>
      <c r="H106" s="26">
        <v>1.8</v>
      </c>
      <c r="I106" s="26">
        <f>0.62+J106</f>
        <v>0.73</v>
      </c>
      <c r="J106" s="26">
        <v>0.11</v>
      </c>
      <c r="K106" s="23">
        <v>0</v>
      </c>
      <c r="L106" s="15">
        <f t="shared" si="118"/>
        <v>2.5300000000000002</v>
      </c>
      <c r="M106" s="26">
        <v>2.65</v>
      </c>
      <c r="N106" s="26">
        <v>0.51</v>
      </c>
      <c r="O106" s="26">
        <v>0</v>
      </c>
      <c r="P106" s="23">
        <v>0</v>
      </c>
      <c r="Q106" s="25">
        <f t="shared" si="116"/>
        <v>3.16</v>
      </c>
      <c r="R106" s="26">
        <v>3.66</v>
      </c>
      <c r="S106" s="26">
        <f>0.65+T106</f>
        <v>0.66</v>
      </c>
      <c r="T106" s="26">
        <v>0.01</v>
      </c>
      <c r="U106" s="23">
        <v>0</v>
      </c>
      <c r="V106" s="15">
        <f t="shared" si="112"/>
        <v>4.32</v>
      </c>
      <c r="W106" s="26">
        <v>3.13</v>
      </c>
      <c r="X106" s="26">
        <f>0.71+Y106</f>
        <v>0.76</v>
      </c>
      <c r="Y106" s="26">
        <v>0.05</v>
      </c>
      <c r="Z106" s="23">
        <v>0</v>
      </c>
      <c r="AA106" s="15">
        <f t="shared" si="113"/>
        <v>3.8899999999999997</v>
      </c>
      <c r="AB106" s="1">
        <v>3.44</v>
      </c>
      <c r="AC106" s="1">
        <v>0.71</v>
      </c>
      <c r="AD106" s="26">
        <v>0</v>
      </c>
      <c r="AE106" s="23">
        <v>0</v>
      </c>
      <c r="AF106" s="15">
        <f t="shared" si="114"/>
        <v>4.15</v>
      </c>
      <c r="AG106" s="1">
        <v>3.95</v>
      </c>
      <c r="AH106" s="1">
        <v>0.4</v>
      </c>
      <c r="AI106" s="1"/>
      <c r="AJ106" s="23">
        <v>0</v>
      </c>
      <c r="AK106" s="15">
        <f t="shared" si="106"/>
        <v>4.3500000000000005</v>
      </c>
      <c r="AL106" s="26">
        <f t="shared" si="119"/>
        <v>4.555134425028378</v>
      </c>
      <c r="AM106" s="26">
        <f t="shared" si="119"/>
        <v>0.445</v>
      </c>
      <c r="AN106" s="26">
        <f t="shared" si="128"/>
        <v>0</v>
      </c>
      <c r="AO106" s="23">
        <v>0</v>
      </c>
      <c r="AP106" s="15">
        <f t="shared" si="107"/>
        <v>5.000134425028378</v>
      </c>
      <c r="AQ106" s="26">
        <f t="shared" si="120"/>
        <v>5.252974589893318</v>
      </c>
      <c r="AR106" s="26">
        <f t="shared" si="120"/>
        <v>0.4950625</v>
      </c>
      <c r="AS106" s="26">
        <f t="shared" si="121"/>
        <v>0</v>
      </c>
      <c r="AT106" s="23">
        <v>0</v>
      </c>
      <c r="AU106" s="15">
        <f t="shared" si="108"/>
        <v>5.748037089893319</v>
      </c>
      <c r="AV106" s="26">
        <f t="shared" si="122"/>
        <v>6.057722883094272</v>
      </c>
      <c r="AW106" s="26">
        <f t="shared" si="122"/>
        <v>0.55075703125</v>
      </c>
      <c r="AX106" s="26">
        <f t="shared" si="129"/>
        <v>0</v>
      </c>
      <c r="AY106" s="26"/>
      <c r="AZ106" s="15">
        <f t="shared" si="115"/>
        <v>6.608479914344272</v>
      </c>
      <c r="BA106" s="26">
        <f t="shared" si="130"/>
        <v>6.985757479003766</v>
      </c>
      <c r="BB106" s="26">
        <f t="shared" si="130"/>
        <v>0.612717197265625</v>
      </c>
      <c r="BC106" s="26">
        <f t="shared" si="131"/>
        <v>0</v>
      </c>
      <c r="BD106" s="23">
        <v>0</v>
      </c>
      <c r="BE106" s="15">
        <f t="shared" si="109"/>
        <v>7.598474676269391</v>
      </c>
      <c r="BF106" s="26">
        <f t="shared" si="123"/>
        <v>8.05596566519228</v>
      </c>
      <c r="BG106" s="26">
        <f t="shared" si="123"/>
        <v>0.6816478819580079</v>
      </c>
      <c r="BH106" s="26">
        <f t="shared" si="124"/>
        <v>0</v>
      </c>
      <c r="BI106" s="23">
        <v>0</v>
      </c>
      <c r="BJ106" s="15">
        <f t="shared" si="110"/>
        <v>8.73761354715029</v>
      </c>
      <c r="BK106" s="26">
        <f t="shared" si="125"/>
        <v>9.290128235028858</v>
      </c>
      <c r="BL106" s="26">
        <f t="shared" si="125"/>
        <v>0.7583332686782838</v>
      </c>
      <c r="BM106" s="26">
        <f t="shared" si="132"/>
        <v>0</v>
      </c>
      <c r="BN106" s="26">
        <f t="shared" si="126"/>
        <v>0</v>
      </c>
      <c r="BO106" s="15">
        <f t="shared" si="111"/>
        <v>10.048461503707141</v>
      </c>
      <c r="BP106" s="20">
        <v>0.1531985886147791</v>
      </c>
      <c r="BQ106" s="18">
        <v>0.1125</v>
      </c>
    </row>
    <row r="107" spans="1:69" s="19" customFormat="1" ht="15">
      <c r="A107" s="21">
        <v>2406</v>
      </c>
      <c r="B107" s="2" t="s">
        <v>190</v>
      </c>
      <c r="C107" s="31">
        <v>12.73</v>
      </c>
      <c r="D107" s="31">
        <f>11.96+E107</f>
        <v>15.39</v>
      </c>
      <c r="E107" s="31">
        <v>3.43</v>
      </c>
      <c r="F107" s="23">
        <v>0.2</v>
      </c>
      <c r="G107" s="15">
        <f t="shared" si="127"/>
        <v>28.12</v>
      </c>
      <c r="H107" s="26">
        <v>14.43</v>
      </c>
      <c r="I107" s="26">
        <f>13.06+J107</f>
        <v>15.91</v>
      </c>
      <c r="J107" s="26">
        <v>2.85</v>
      </c>
      <c r="K107" s="23">
        <v>0</v>
      </c>
      <c r="L107" s="15">
        <f t="shared" si="118"/>
        <v>30.34</v>
      </c>
      <c r="M107" s="26">
        <v>25.39</v>
      </c>
      <c r="N107" s="26">
        <f>14.86+O107</f>
        <v>17.49</v>
      </c>
      <c r="O107" s="26">
        <v>2.63</v>
      </c>
      <c r="P107" s="23">
        <v>0</v>
      </c>
      <c r="Q107" s="25">
        <f t="shared" si="116"/>
        <v>42.879999999999995</v>
      </c>
      <c r="R107" s="26">
        <v>24.78</v>
      </c>
      <c r="S107" s="26">
        <f>28.51+T107</f>
        <v>31.490000000000002</v>
      </c>
      <c r="T107" s="26">
        <v>2.98</v>
      </c>
      <c r="U107" s="23">
        <v>0</v>
      </c>
      <c r="V107" s="15">
        <f t="shared" si="112"/>
        <v>56.27</v>
      </c>
      <c r="W107" s="26">
        <v>23.97</v>
      </c>
      <c r="X107" s="26">
        <f>31.46+Y107</f>
        <v>33.230000000000004</v>
      </c>
      <c r="Y107" s="26">
        <v>1.77</v>
      </c>
      <c r="Z107" s="23">
        <v>1.01</v>
      </c>
      <c r="AA107" s="15">
        <f t="shared" si="113"/>
        <v>57.2</v>
      </c>
      <c r="AB107" s="1">
        <v>27.07</v>
      </c>
      <c r="AC107" s="1">
        <v>83.21</v>
      </c>
      <c r="AD107" s="26">
        <v>0</v>
      </c>
      <c r="AE107" s="23">
        <v>1.1</v>
      </c>
      <c r="AF107" s="15">
        <f t="shared" si="114"/>
        <v>110.28</v>
      </c>
      <c r="AG107" s="1">
        <v>26.72</v>
      </c>
      <c r="AH107" s="1">
        <v>100.36</v>
      </c>
      <c r="AI107" s="26">
        <v>4.19</v>
      </c>
      <c r="AJ107" s="23">
        <v>1.71</v>
      </c>
      <c r="AK107" s="15">
        <f t="shared" si="106"/>
        <v>127.08</v>
      </c>
      <c r="AL107" s="26">
        <f t="shared" si="119"/>
        <v>30.196770717072635</v>
      </c>
      <c r="AM107" s="26">
        <f t="shared" si="119"/>
        <v>111.6505</v>
      </c>
      <c r="AN107" s="26">
        <f t="shared" si="128"/>
        <v>4.6613750000000005</v>
      </c>
      <c r="AO107" s="23">
        <v>0</v>
      </c>
      <c r="AP107" s="15">
        <f t="shared" si="107"/>
        <v>141.84727071707263</v>
      </c>
      <c r="AQ107" s="26">
        <f t="shared" si="120"/>
        <v>34.12593419683591</v>
      </c>
      <c r="AR107" s="26">
        <f t="shared" si="120"/>
        <v>124.21118125</v>
      </c>
      <c r="AS107" s="26">
        <f t="shared" si="121"/>
        <v>5.1857796875</v>
      </c>
      <c r="AT107" s="23">
        <v>0</v>
      </c>
      <c r="AU107" s="15">
        <f t="shared" si="108"/>
        <v>158.3371154468359</v>
      </c>
      <c r="AV107" s="26">
        <f t="shared" si="122"/>
        <v>38.56635518142823</v>
      </c>
      <c r="AW107" s="26">
        <f t="shared" si="122"/>
        <v>138.184939140625</v>
      </c>
      <c r="AX107" s="26">
        <f t="shared" si="129"/>
        <v>5.76917990234375</v>
      </c>
      <c r="AY107" s="26"/>
      <c r="AZ107" s="15">
        <f t="shared" si="115"/>
        <v>176.75129432205324</v>
      </c>
      <c r="BA107" s="26">
        <f t="shared" si="130"/>
        <v>43.584557814624795</v>
      </c>
      <c r="BB107" s="26">
        <f t="shared" si="130"/>
        <v>153.73074479394532</v>
      </c>
      <c r="BC107" s="26">
        <f t="shared" si="131"/>
        <v>6.418212641357422</v>
      </c>
      <c r="BD107" s="23">
        <v>0</v>
      </c>
      <c r="BE107" s="15">
        <f t="shared" si="109"/>
        <v>197.3153026085701</v>
      </c>
      <c r="BF107" s="26">
        <f t="shared" si="123"/>
        <v>49.2557222729499</v>
      </c>
      <c r="BG107" s="26">
        <f t="shared" si="123"/>
        <v>171.02545358326418</v>
      </c>
      <c r="BH107" s="26">
        <f t="shared" si="124"/>
        <v>7.140261563510132</v>
      </c>
      <c r="BI107" s="23">
        <v>0</v>
      </c>
      <c r="BJ107" s="15">
        <f t="shared" si="110"/>
        <v>220.28117585621408</v>
      </c>
      <c r="BK107" s="26">
        <f t="shared" si="125"/>
        <v>55.664811077098655</v>
      </c>
      <c r="BL107" s="26">
        <f t="shared" si="125"/>
        <v>190.2658171113814</v>
      </c>
      <c r="BM107" s="26">
        <f t="shared" si="132"/>
        <v>7.9435409894050215</v>
      </c>
      <c r="BN107" s="26">
        <f t="shared" si="126"/>
        <v>0</v>
      </c>
      <c r="BO107" s="15">
        <f t="shared" si="111"/>
        <v>245.93062818848006</v>
      </c>
      <c r="BP107" s="20">
        <v>0.1301186645611017</v>
      </c>
      <c r="BQ107" s="18">
        <v>0.1125</v>
      </c>
    </row>
    <row r="108" spans="1:69" s="19" customFormat="1" ht="15">
      <c r="A108" s="21">
        <v>2407</v>
      </c>
      <c r="B108" s="2" t="s">
        <v>82</v>
      </c>
      <c r="C108" s="31">
        <v>2.94</v>
      </c>
      <c r="D108" s="40">
        <v>0</v>
      </c>
      <c r="E108" s="40">
        <v>0</v>
      </c>
      <c r="F108" s="23">
        <v>0</v>
      </c>
      <c r="G108" s="15">
        <f t="shared" si="127"/>
        <v>2.94</v>
      </c>
      <c r="H108" s="26">
        <v>3.13</v>
      </c>
      <c r="I108" s="26">
        <v>0</v>
      </c>
      <c r="J108" s="26">
        <v>0</v>
      </c>
      <c r="K108" s="23">
        <v>0</v>
      </c>
      <c r="L108" s="15">
        <f t="shared" si="118"/>
        <v>3.13</v>
      </c>
      <c r="M108" s="26">
        <v>3.52</v>
      </c>
      <c r="N108" s="26">
        <v>0</v>
      </c>
      <c r="O108" s="26">
        <v>0</v>
      </c>
      <c r="P108" s="23">
        <v>0</v>
      </c>
      <c r="Q108" s="25">
        <f t="shared" si="116"/>
        <v>3.52</v>
      </c>
      <c r="R108" s="26">
        <v>3.55</v>
      </c>
      <c r="S108" s="26">
        <v>0</v>
      </c>
      <c r="T108" s="26">
        <v>0</v>
      </c>
      <c r="U108" s="23">
        <v>0</v>
      </c>
      <c r="V108" s="15">
        <f t="shared" si="112"/>
        <v>3.55</v>
      </c>
      <c r="W108" s="26">
        <v>3.84</v>
      </c>
      <c r="X108" s="26">
        <v>0</v>
      </c>
      <c r="Y108" s="26">
        <v>0</v>
      </c>
      <c r="Z108" s="23">
        <v>0</v>
      </c>
      <c r="AA108" s="15">
        <f t="shared" si="113"/>
        <v>3.84</v>
      </c>
      <c r="AB108" s="1">
        <v>4.4</v>
      </c>
      <c r="AC108" s="1">
        <v>0.38</v>
      </c>
      <c r="AD108" s="26">
        <v>0</v>
      </c>
      <c r="AE108" s="23">
        <v>0</v>
      </c>
      <c r="AF108" s="15">
        <f t="shared" si="114"/>
        <v>4.78</v>
      </c>
      <c r="AG108" s="1">
        <v>4.35</v>
      </c>
      <c r="AH108" s="1">
        <v>0.4</v>
      </c>
      <c r="AI108" s="26">
        <v>0</v>
      </c>
      <c r="AJ108" s="23">
        <v>0</v>
      </c>
      <c r="AK108" s="15">
        <f t="shared" si="106"/>
        <v>4.75</v>
      </c>
      <c r="AL108" s="26">
        <f t="shared" si="119"/>
        <v>4.662654352060039</v>
      </c>
      <c r="AM108" s="26">
        <f t="shared" si="119"/>
        <v>0.445</v>
      </c>
      <c r="AN108" s="26">
        <f t="shared" si="128"/>
        <v>0</v>
      </c>
      <c r="AO108" s="23">
        <v>0</v>
      </c>
      <c r="AP108" s="15">
        <f t="shared" si="107"/>
        <v>5.107654352060039</v>
      </c>
      <c r="AQ108" s="26">
        <f t="shared" si="120"/>
        <v>4.997780599260787</v>
      </c>
      <c r="AR108" s="26">
        <f t="shared" si="120"/>
        <v>0.4950625</v>
      </c>
      <c r="AS108" s="26">
        <f t="shared" si="121"/>
        <v>0</v>
      </c>
      <c r="AT108" s="23">
        <v>0</v>
      </c>
      <c r="AU108" s="15">
        <f t="shared" si="108"/>
        <v>5.492843099260788</v>
      </c>
      <c r="AV108" s="26">
        <f t="shared" si="122"/>
        <v>5.356993899260814</v>
      </c>
      <c r="AW108" s="26">
        <f t="shared" si="122"/>
        <v>0.55075703125</v>
      </c>
      <c r="AX108" s="26">
        <f t="shared" si="129"/>
        <v>0</v>
      </c>
      <c r="AY108" s="26"/>
      <c r="AZ108" s="15">
        <f t="shared" si="115"/>
        <v>5.907750930510814</v>
      </c>
      <c r="BA108" s="26">
        <f t="shared" si="130"/>
        <v>5.742025498470694</v>
      </c>
      <c r="BB108" s="26">
        <f t="shared" si="130"/>
        <v>0.612717197265625</v>
      </c>
      <c r="BC108" s="26">
        <f t="shared" si="131"/>
        <v>0</v>
      </c>
      <c r="BD108" s="23">
        <v>0</v>
      </c>
      <c r="BE108" s="15">
        <f t="shared" si="109"/>
        <v>6.354742695736319</v>
      </c>
      <c r="BF108" s="26">
        <f t="shared" si="123"/>
        <v>6.1547310758814024</v>
      </c>
      <c r="BG108" s="26">
        <f t="shared" si="123"/>
        <v>0.6816478819580079</v>
      </c>
      <c r="BH108" s="26">
        <f t="shared" si="124"/>
        <v>0</v>
      </c>
      <c r="BI108" s="23">
        <v>0</v>
      </c>
      <c r="BJ108" s="15">
        <f t="shared" si="110"/>
        <v>6.83637895783941</v>
      </c>
      <c r="BK108" s="26">
        <f t="shared" si="125"/>
        <v>6.597099686601745</v>
      </c>
      <c r="BL108" s="26">
        <f t="shared" si="125"/>
        <v>0.7583332686782838</v>
      </c>
      <c r="BM108" s="26">
        <f t="shared" si="132"/>
        <v>0</v>
      </c>
      <c r="BN108" s="26">
        <f t="shared" si="126"/>
        <v>0</v>
      </c>
      <c r="BO108" s="15">
        <f t="shared" si="111"/>
        <v>7.355432955280029</v>
      </c>
      <c r="BP108" s="20">
        <v>0.07187456369196311</v>
      </c>
      <c r="BQ108" s="18">
        <v>0.1125</v>
      </c>
    </row>
    <row r="109" spans="1:69" s="19" customFormat="1" ht="30">
      <c r="A109" s="21">
        <v>2408</v>
      </c>
      <c r="B109" s="2" t="s">
        <v>191</v>
      </c>
      <c r="C109" s="31">
        <v>10.29</v>
      </c>
      <c r="D109" s="31">
        <f>1.88+E109</f>
        <v>1.9</v>
      </c>
      <c r="E109" s="31">
        <v>0.02</v>
      </c>
      <c r="F109" s="23">
        <v>0</v>
      </c>
      <c r="G109" s="15">
        <f t="shared" si="127"/>
        <v>12.19</v>
      </c>
      <c r="H109" s="26">
        <v>9.81</v>
      </c>
      <c r="I109" s="26">
        <f>2.24+J109</f>
        <v>2.27</v>
      </c>
      <c r="J109" s="26">
        <v>0.03</v>
      </c>
      <c r="K109" s="23">
        <v>0</v>
      </c>
      <c r="L109" s="15">
        <f t="shared" si="118"/>
        <v>12.08</v>
      </c>
      <c r="M109" s="26">
        <v>11.59</v>
      </c>
      <c r="N109" s="26">
        <v>2.14</v>
      </c>
      <c r="O109" s="26">
        <v>0</v>
      </c>
      <c r="P109" s="23">
        <v>0.2</v>
      </c>
      <c r="Q109" s="25">
        <f t="shared" si="116"/>
        <v>13.73</v>
      </c>
      <c r="R109" s="26">
        <v>11.85</v>
      </c>
      <c r="S109" s="26">
        <f>1.74+T109</f>
        <v>1.76</v>
      </c>
      <c r="T109" s="26">
        <v>0.02</v>
      </c>
      <c r="U109" s="23">
        <v>0</v>
      </c>
      <c r="V109" s="15">
        <f t="shared" si="112"/>
        <v>13.61</v>
      </c>
      <c r="W109" s="26">
        <v>12.07</v>
      </c>
      <c r="X109" s="26">
        <v>3.37</v>
      </c>
      <c r="Y109" s="26"/>
      <c r="Z109" s="23">
        <v>0</v>
      </c>
      <c r="AA109" s="15">
        <f t="shared" si="113"/>
        <v>15.440000000000001</v>
      </c>
      <c r="AB109" s="1">
        <v>16.11</v>
      </c>
      <c r="AC109" s="1">
        <v>3.34</v>
      </c>
      <c r="AD109" s="26">
        <v>0</v>
      </c>
      <c r="AE109" s="23">
        <v>1</v>
      </c>
      <c r="AF109" s="15">
        <f t="shared" si="114"/>
        <v>19.45</v>
      </c>
      <c r="AG109" s="1">
        <v>17.89</v>
      </c>
      <c r="AH109" s="1">
        <v>9.36</v>
      </c>
      <c r="AI109" s="26">
        <v>0</v>
      </c>
      <c r="AJ109" s="23">
        <v>1.54</v>
      </c>
      <c r="AK109" s="15">
        <f t="shared" si="106"/>
        <v>27.25</v>
      </c>
      <c r="AL109" s="26">
        <f t="shared" si="119"/>
        <v>19.69529760688168</v>
      </c>
      <c r="AM109" s="26">
        <f t="shared" si="119"/>
        <v>10.413</v>
      </c>
      <c r="AN109" s="26">
        <f t="shared" si="128"/>
        <v>0</v>
      </c>
      <c r="AO109" s="23">
        <v>0</v>
      </c>
      <c r="AP109" s="15">
        <f t="shared" si="107"/>
        <v>30.10829760688168</v>
      </c>
      <c r="AQ109" s="26">
        <f t="shared" si="120"/>
        <v>21.682769582092746</v>
      </c>
      <c r="AR109" s="26">
        <f t="shared" si="120"/>
        <v>11.5844625</v>
      </c>
      <c r="AS109" s="26">
        <f t="shared" si="121"/>
        <v>0</v>
      </c>
      <c r="AT109" s="23">
        <v>0</v>
      </c>
      <c r="AU109" s="15">
        <f t="shared" si="108"/>
        <v>33.26723208209275</v>
      </c>
      <c r="AV109" s="26">
        <f t="shared" si="122"/>
        <v>23.87079932145099</v>
      </c>
      <c r="AW109" s="26">
        <f t="shared" si="122"/>
        <v>12.887714531250001</v>
      </c>
      <c r="AX109" s="26">
        <f t="shared" si="129"/>
        <v>0</v>
      </c>
      <c r="AY109" s="26"/>
      <c r="AZ109" s="15">
        <f t="shared" si="115"/>
        <v>36.758513852700986</v>
      </c>
      <c r="BA109" s="26">
        <f t="shared" si="130"/>
        <v>26.279625307441393</v>
      </c>
      <c r="BB109" s="26">
        <f t="shared" si="130"/>
        <v>14.337582416015627</v>
      </c>
      <c r="BC109" s="26">
        <f t="shared" si="131"/>
        <v>0</v>
      </c>
      <c r="BD109" s="23">
        <v>0</v>
      </c>
      <c r="BE109" s="15">
        <f t="shared" si="109"/>
        <v>40.61720772345702</v>
      </c>
      <c r="BF109" s="26">
        <f t="shared" si="123"/>
        <v>28.93152830784783</v>
      </c>
      <c r="BG109" s="26">
        <f t="shared" si="123"/>
        <v>15.950560437817385</v>
      </c>
      <c r="BH109" s="26">
        <f t="shared" si="124"/>
        <v>0</v>
      </c>
      <c r="BI109" s="23">
        <v>0</v>
      </c>
      <c r="BJ109" s="15">
        <f t="shared" si="110"/>
        <v>44.882088745665214</v>
      </c>
      <c r="BK109" s="26">
        <f t="shared" si="125"/>
        <v>31.851037464783957</v>
      </c>
      <c r="BL109" s="26">
        <f t="shared" si="125"/>
        <v>17.74499848707184</v>
      </c>
      <c r="BM109" s="26">
        <f t="shared" si="132"/>
        <v>0</v>
      </c>
      <c r="BN109" s="26">
        <f t="shared" si="126"/>
        <v>0</v>
      </c>
      <c r="BO109" s="15">
        <f t="shared" si="111"/>
        <v>49.5960359518558</v>
      </c>
      <c r="BP109" s="20">
        <v>0.10091098976420795</v>
      </c>
      <c r="BQ109" s="18">
        <v>0.1125</v>
      </c>
    </row>
    <row r="110" spans="1:69" s="19" customFormat="1" ht="30">
      <c r="A110" s="21">
        <v>2415</v>
      </c>
      <c r="B110" s="2" t="s">
        <v>192</v>
      </c>
      <c r="C110" s="31">
        <v>0</v>
      </c>
      <c r="D110" s="31">
        <v>0.34</v>
      </c>
      <c r="E110" s="40">
        <v>0</v>
      </c>
      <c r="F110" s="23">
        <v>0</v>
      </c>
      <c r="G110" s="15">
        <f t="shared" si="127"/>
        <v>0.34</v>
      </c>
      <c r="H110" s="26">
        <v>0</v>
      </c>
      <c r="I110" s="26">
        <v>0.05</v>
      </c>
      <c r="J110" s="26">
        <v>0</v>
      </c>
      <c r="K110" s="23">
        <v>0</v>
      </c>
      <c r="L110" s="15">
        <f t="shared" si="118"/>
        <v>0.05</v>
      </c>
      <c r="M110" s="26">
        <v>0</v>
      </c>
      <c r="N110" s="26">
        <v>0.23</v>
      </c>
      <c r="O110" s="26">
        <v>0</v>
      </c>
      <c r="P110" s="23">
        <v>0</v>
      </c>
      <c r="Q110" s="25">
        <f t="shared" si="116"/>
        <v>0.23</v>
      </c>
      <c r="R110" s="26">
        <v>0</v>
      </c>
      <c r="S110" s="26">
        <v>0</v>
      </c>
      <c r="T110" s="26">
        <v>0</v>
      </c>
      <c r="U110" s="23">
        <v>0</v>
      </c>
      <c r="V110" s="15">
        <f t="shared" si="112"/>
        <v>0</v>
      </c>
      <c r="W110" s="26">
        <v>0</v>
      </c>
      <c r="X110" s="26">
        <v>0</v>
      </c>
      <c r="Y110" s="26">
        <v>0</v>
      </c>
      <c r="Z110" s="23">
        <v>0</v>
      </c>
      <c r="AA110" s="15">
        <f t="shared" si="113"/>
        <v>0</v>
      </c>
      <c r="AB110" s="26">
        <v>0</v>
      </c>
      <c r="AC110" s="26">
        <v>0</v>
      </c>
      <c r="AD110" s="26">
        <v>0</v>
      </c>
      <c r="AE110" s="23">
        <v>0</v>
      </c>
      <c r="AF110" s="15">
        <f t="shared" si="114"/>
        <v>0</v>
      </c>
      <c r="AG110" s="26">
        <v>0</v>
      </c>
      <c r="AH110" s="26">
        <v>0</v>
      </c>
      <c r="AI110" s="26">
        <v>0</v>
      </c>
      <c r="AJ110" s="23">
        <v>0</v>
      </c>
      <c r="AK110" s="15">
        <f t="shared" si="106"/>
        <v>0</v>
      </c>
      <c r="AL110" s="26">
        <f t="shared" si="119"/>
        <v>0</v>
      </c>
      <c r="AM110" s="26">
        <f t="shared" si="119"/>
        <v>0</v>
      </c>
      <c r="AN110" s="26">
        <f t="shared" si="128"/>
        <v>0</v>
      </c>
      <c r="AO110" s="23">
        <v>0</v>
      </c>
      <c r="AP110" s="15">
        <f t="shared" si="107"/>
        <v>0</v>
      </c>
      <c r="AQ110" s="26">
        <f t="shared" si="120"/>
        <v>0</v>
      </c>
      <c r="AR110" s="26">
        <f t="shared" si="120"/>
        <v>0</v>
      </c>
      <c r="AS110" s="26">
        <f t="shared" si="121"/>
        <v>0</v>
      </c>
      <c r="AT110" s="23">
        <v>0</v>
      </c>
      <c r="AU110" s="15">
        <f t="shared" si="108"/>
        <v>0</v>
      </c>
      <c r="AV110" s="26">
        <f t="shared" si="122"/>
        <v>0</v>
      </c>
      <c r="AW110" s="26">
        <f t="shared" si="122"/>
        <v>0</v>
      </c>
      <c r="AX110" s="26">
        <f t="shared" si="129"/>
        <v>0</v>
      </c>
      <c r="AY110" s="26"/>
      <c r="AZ110" s="15">
        <f t="shared" si="115"/>
        <v>0</v>
      </c>
      <c r="BA110" s="26">
        <f t="shared" si="130"/>
        <v>0</v>
      </c>
      <c r="BB110" s="26">
        <f t="shared" si="130"/>
        <v>0</v>
      </c>
      <c r="BC110" s="26">
        <f t="shared" si="131"/>
        <v>0</v>
      </c>
      <c r="BD110" s="23">
        <v>0</v>
      </c>
      <c r="BE110" s="15">
        <f t="shared" si="109"/>
        <v>0</v>
      </c>
      <c r="BF110" s="26">
        <f t="shared" si="123"/>
        <v>0</v>
      </c>
      <c r="BG110" s="26">
        <f t="shared" si="123"/>
        <v>0</v>
      </c>
      <c r="BH110" s="26">
        <f t="shared" si="124"/>
        <v>0</v>
      </c>
      <c r="BI110" s="23">
        <v>0</v>
      </c>
      <c r="BJ110" s="15">
        <f t="shared" si="110"/>
        <v>0</v>
      </c>
      <c r="BK110" s="26">
        <f t="shared" si="125"/>
        <v>0</v>
      </c>
      <c r="BL110" s="26">
        <f t="shared" si="125"/>
        <v>0</v>
      </c>
      <c r="BM110" s="26">
        <f t="shared" si="132"/>
        <v>0</v>
      </c>
      <c r="BN110" s="26">
        <f t="shared" si="126"/>
        <v>0</v>
      </c>
      <c r="BO110" s="15">
        <f t="shared" si="111"/>
        <v>0</v>
      </c>
      <c r="BP110" s="20"/>
      <c r="BQ110" s="18"/>
    </row>
    <row r="111" spans="1:69" s="19" customFormat="1" ht="15">
      <c r="A111" s="21">
        <v>2416</v>
      </c>
      <c r="B111" s="2" t="s">
        <v>193</v>
      </c>
      <c r="C111" s="40">
        <v>0</v>
      </c>
      <c r="D111" s="40">
        <v>0</v>
      </c>
      <c r="E111" s="40">
        <v>0</v>
      </c>
      <c r="F111" s="23">
        <v>0</v>
      </c>
      <c r="G111" s="15">
        <f t="shared" si="127"/>
        <v>0</v>
      </c>
      <c r="H111" s="26">
        <v>0</v>
      </c>
      <c r="I111" s="26">
        <v>0</v>
      </c>
      <c r="J111" s="26">
        <v>0</v>
      </c>
      <c r="K111" s="23">
        <v>0</v>
      </c>
      <c r="L111" s="15">
        <f t="shared" si="118"/>
        <v>0</v>
      </c>
      <c r="M111" s="26">
        <v>0</v>
      </c>
      <c r="N111" s="26">
        <v>0</v>
      </c>
      <c r="O111" s="26">
        <v>0</v>
      </c>
      <c r="P111" s="23">
        <v>0</v>
      </c>
      <c r="Q111" s="25">
        <f t="shared" si="116"/>
        <v>0</v>
      </c>
      <c r="R111" s="26">
        <v>0</v>
      </c>
      <c r="S111" s="26">
        <v>0</v>
      </c>
      <c r="T111" s="26">
        <v>0</v>
      </c>
      <c r="U111" s="23">
        <v>0</v>
      </c>
      <c r="V111" s="15">
        <f t="shared" si="112"/>
        <v>0</v>
      </c>
      <c r="W111" s="26">
        <v>0</v>
      </c>
      <c r="X111" s="26">
        <v>0</v>
      </c>
      <c r="Y111" s="26">
        <v>0</v>
      </c>
      <c r="Z111" s="23">
        <v>0</v>
      </c>
      <c r="AA111" s="15">
        <f t="shared" si="113"/>
        <v>0</v>
      </c>
      <c r="AB111" s="26">
        <v>0</v>
      </c>
      <c r="AC111" s="26">
        <v>0</v>
      </c>
      <c r="AD111" s="26">
        <v>0</v>
      </c>
      <c r="AE111" s="23">
        <v>0</v>
      </c>
      <c r="AF111" s="15">
        <f t="shared" si="114"/>
        <v>0</v>
      </c>
      <c r="AG111" s="26">
        <v>0</v>
      </c>
      <c r="AH111" s="26">
        <v>0</v>
      </c>
      <c r="AI111" s="26">
        <v>0</v>
      </c>
      <c r="AJ111" s="23">
        <v>0</v>
      </c>
      <c r="AK111" s="15">
        <f t="shared" si="106"/>
        <v>0</v>
      </c>
      <c r="AL111" s="26">
        <f t="shared" si="119"/>
        <v>0</v>
      </c>
      <c r="AM111" s="26">
        <f t="shared" si="119"/>
        <v>0</v>
      </c>
      <c r="AN111" s="26">
        <f t="shared" si="128"/>
        <v>0</v>
      </c>
      <c r="AO111" s="23">
        <v>0</v>
      </c>
      <c r="AP111" s="15">
        <f t="shared" si="107"/>
        <v>0</v>
      </c>
      <c r="AQ111" s="26">
        <f t="shared" si="120"/>
        <v>0</v>
      </c>
      <c r="AR111" s="26">
        <f t="shared" si="120"/>
        <v>0</v>
      </c>
      <c r="AS111" s="26">
        <f t="shared" si="121"/>
        <v>0</v>
      </c>
      <c r="AT111" s="23">
        <v>0</v>
      </c>
      <c r="AU111" s="15">
        <f t="shared" si="108"/>
        <v>0</v>
      </c>
      <c r="AV111" s="26">
        <f t="shared" si="122"/>
        <v>0</v>
      </c>
      <c r="AW111" s="26">
        <f t="shared" si="122"/>
        <v>0</v>
      </c>
      <c r="AX111" s="26">
        <f t="shared" si="129"/>
        <v>0</v>
      </c>
      <c r="AY111" s="26"/>
      <c r="AZ111" s="15">
        <f t="shared" si="115"/>
        <v>0</v>
      </c>
      <c r="BA111" s="26">
        <f t="shared" si="130"/>
        <v>0</v>
      </c>
      <c r="BB111" s="26">
        <f t="shared" si="130"/>
        <v>0</v>
      </c>
      <c r="BC111" s="26">
        <f t="shared" si="131"/>
        <v>0</v>
      </c>
      <c r="BD111" s="23">
        <v>0</v>
      </c>
      <c r="BE111" s="15">
        <f t="shared" si="109"/>
        <v>0</v>
      </c>
      <c r="BF111" s="26">
        <f t="shared" si="123"/>
        <v>0</v>
      </c>
      <c r="BG111" s="26">
        <f t="shared" si="123"/>
        <v>0</v>
      </c>
      <c r="BH111" s="26">
        <f t="shared" si="124"/>
        <v>0</v>
      </c>
      <c r="BI111" s="23">
        <v>0</v>
      </c>
      <c r="BJ111" s="15">
        <f t="shared" si="110"/>
        <v>0</v>
      </c>
      <c r="BK111" s="26">
        <f t="shared" si="125"/>
        <v>0</v>
      </c>
      <c r="BL111" s="26">
        <f t="shared" si="125"/>
        <v>0</v>
      </c>
      <c r="BM111" s="26">
        <f t="shared" si="132"/>
        <v>0</v>
      </c>
      <c r="BN111" s="26">
        <f t="shared" si="126"/>
        <v>0</v>
      </c>
      <c r="BO111" s="15">
        <f t="shared" si="111"/>
        <v>0</v>
      </c>
      <c r="BP111" s="20"/>
      <c r="BQ111" s="18"/>
    </row>
    <row r="112" spans="1:69" s="19" customFormat="1" ht="15">
      <c r="A112" s="21">
        <v>2425</v>
      </c>
      <c r="B112" s="2" t="s">
        <v>194</v>
      </c>
      <c r="C112" s="31">
        <v>3.66</v>
      </c>
      <c r="D112" s="31">
        <v>3.57</v>
      </c>
      <c r="E112" s="40">
        <v>0</v>
      </c>
      <c r="F112" s="23">
        <v>0.1</v>
      </c>
      <c r="G112" s="15">
        <f t="shared" si="127"/>
        <v>7.23</v>
      </c>
      <c r="H112" s="26">
        <v>4.19</v>
      </c>
      <c r="I112" s="26">
        <v>3.07</v>
      </c>
      <c r="J112" s="26">
        <v>0</v>
      </c>
      <c r="K112" s="23">
        <v>0.08</v>
      </c>
      <c r="L112" s="15">
        <f t="shared" si="118"/>
        <v>7.26</v>
      </c>
      <c r="M112" s="26">
        <v>7.28</v>
      </c>
      <c r="N112" s="26">
        <v>6.03</v>
      </c>
      <c r="O112" s="26">
        <v>0</v>
      </c>
      <c r="P112" s="23">
        <v>0.1</v>
      </c>
      <c r="Q112" s="25">
        <f t="shared" si="116"/>
        <v>13.31</v>
      </c>
      <c r="R112" s="26">
        <v>6.79</v>
      </c>
      <c r="S112" s="26">
        <v>2.02</v>
      </c>
      <c r="T112" s="26">
        <v>0</v>
      </c>
      <c r="U112" s="23">
        <v>0</v>
      </c>
      <c r="V112" s="15">
        <f t="shared" si="112"/>
        <v>8.81</v>
      </c>
      <c r="W112" s="26">
        <v>6.84</v>
      </c>
      <c r="X112" s="26">
        <v>2.02</v>
      </c>
      <c r="Y112" s="26">
        <v>0</v>
      </c>
      <c r="Z112" s="23">
        <v>0.19</v>
      </c>
      <c r="AA112" s="15">
        <f t="shared" si="113"/>
        <v>8.86</v>
      </c>
      <c r="AB112" s="1">
        <v>7.96</v>
      </c>
      <c r="AC112" s="1">
        <v>3.27</v>
      </c>
      <c r="AD112" s="26">
        <v>0</v>
      </c>
      <c r="AE112" s="23">
        <v>0.02</v>
      </c>
      <c r="AF112" s="15">
        <f t="shared" si="114"/>
        <v>11.23</v>
      </c>
      <c r="AG112" s="1">
        <v>9.03</v>
      </c>
      <c r="AH112" s="1">
        <v>2.25</v>
      </c>
      <c r="AI112" s="26">
        <v>0</v>
      </c>
      <c r="AJ112" s="23">
        <v>0</v>
      </c>
      <c r="AK112" s="15">
        <f t="shared" si="106"/>
        <v>11.28</v>
      </c>
      <c r="AL112" s="26">
        <f t="shared" si="119"/>
        <v>10.390824110416094</v>
      </c>
      <c r="AM112" s="26">
        <f t="shared" si="119"/>
        <v>2.503125</v>
      </c>
      <c r="AN112" s="26">
        <f t="shared" si="128"/>
        <v>0</v>
      </c>
      <c r="AO112" s="23">
        <v>0</v>
      </c>
      <c r="AP112" s="15">
        <f t="shared" si="107"/>
        <v>12.893949110416095</v>
      </c>
      <c r="AQ112" s="26">
        <f t="shared" si="120"/>
        <v>11.956724883012672</v>
      </c>
      <c r="AR112" s="26">
        <f t="shared" si="120"/>
        <v>2.7847265625</v>
      </c>
      <c r="AS112" s="26">
        <f t="shared" si="121"/>
        <v>0</v>
      </c>
      <c r="AT112" s="23">
        <v>0</v>
      </c>
      <c r="AU112" s="15">
        <f t="shared" si="108"/>
        <v>14.741451445512672</v>
      </c>
      <c r="AV112" s="26">
        <f t="shared" si="122"/>
        <v>13.758607441419729</v>
      </c>
      <c r="AW112" s="26">
        <f t="shared" si="122"/>
        <v>3.09800830078125</v>
      </c>
      <c r="AX112" s="26">
        <f t="shared" si="129"/>
        <v>0</v>
      </c>
      <c r="AY112" s="26"/>
      <c r="AZ112" s="15">
        <f t="shared" si="115"/>
        <v>16.85661574220098</v>
      </c>
      <c r="BA112" s="26">
        <f t="shared" si="130"/>
        <v>15.83203432204368</v>
      </c>
      <c r="BB112" s="26">
        <f t="shared" si="130"/>
        <v>3.4465342346191403</v>
      </c>
      <c r="BC112" s="26">
        <f t="shared" si="131"/>
        <v>0</v>
      </c>
      <c r="BD112" s="23">
        <v>0</v>
      </c>
      <c r="BE112" s="15">
        <f t="shared" si="109"/>
        <v>19.278568556662822</v>
      </c>
      <c r="BF112" s="26">
        <f t="shared" si="123"/>
        <v>18.217927347777035</v>
      </c>
      <c r="BG112" s="26">
        <f t="shared" si="123"/>
        <v>3.8342693360137936</v>
      </c>
      <c r="BH112" s="26">
        <f t="shared" si="124"/>
        <v>0</v>
      </c>
      <c r="BI112" s="23">
        <v>0</v>
      </c>
      <c r="BJ112" s="15">
        <f t="shared" si="110"/>
        <v>22.05219668379083</v>
      </c>
      <c r="BK112" s="26">
        <f t="shared" si="125"/>
        <v>20.963375274317873</v>
      </c>
      <c r="BL112" s="26">
        <f t="shared" si="125"/>
        <v>4.265624636315345</v>
      </c>
      <c r="BM112" s="26">
        <f t="shared" si="132"/>
        <v>0</v>
      </c>
      <c r="BN112" s="26">
        <f t="shared" si="126"/>
        <v>0</v>
      </c>
      <c r="BO112" s="15">
        <f t="shared" si="111"/>
        <v>25.228999910633217</v>
      </c>
      <c r="BP112" s="20">
        <v>0.15070034445360975</v>
      </c>
      <c r="BQ112" s="18">
        <v>0.1125</v>
      </c>
    </row>
    <row r="113" spans="1:69" s="19" customFormat="1" ht="15">
      <c r="A113" s="21">
        <v>2435</v>
      </c>
      <c r="B113" s="2" t="s">
        <v>195</v>
      </c>
      <c r="C113" s="31">
        <v>0</v>
      </c>
      <c r="D113" s="31">
        <f>0.7+E113</f>
        <v>25.46</v>
      </c>
      <c r="E113" s="31">
        <v>24.76</v>
      </c>
      <c r="F113" s="23">
        <v>0</v>
      </c>
      <c r="G113" s="15">
        <f t="shared" si="127"/>
        <v>25.46</v>
      </c>
      <c r="H113" s="26">
        <v>2.02</v>
      </c>
      <c r="I113" s="26">
        <f>4.96+J113</f>
        <v>24.36</v>
      </c>
      <c r="J113" s="41">
        <v>19.4</v>
      </c>
      <c r="K113" s="23">
        <v>0</v>
      </c>
      <c r="L113" s="15">
        <f t="shared" si="118"/>
        <v>26.38</v>
      </c>
      <c r="M113" s="26">
        <v>0</v>
      </c>
      <c r="N113" s="26">
        <f>11.05+O113</f>
        <v>30.7</v>
      </c>
      <c r="O113" s="42">
        <v>19.65</v>
      </c>
      <c r="P113" s="23">
        <v>0</v>
      </c>
      <c r="Q113" s="25">
        <f t="shared" si="116"/>
        <v>30.7</v>
      </c>
      <c r="R113" s="26">
        <v>0</v>
      </c>
      <c r="S113" s="26">
        <f>8.86+T113</f>
        <v>34.33</v>
      </c>
      <c r="T113" s="45">
        <v>25.47</v>
      </c>
      <c r="U113" s="23">
        <v>0</v>
      </c>
      <c r="V113" s="15">
        <f t="shared" si="112"/>
        <v>34.33</v>
      </c>
      <c r="W113" s="26">
        <v>0</v>
      </c>
      <c r="X113" s="26">
        <f>17.75+Y113</f>
        <v>36.4</v>
      </c>
      <c r="Y113" s="26">
        <v>18.65</v>
      </c>
      <c r="Z113" s="23">
        <v>0</v>
      </c>
      <c r="AA113" s="15">
        <f t="shared" si="113"/>
        <v>36.4</v>
      </c>
      <c r="AB113" s="26">
        <v>0</v>
      </c>
      <c r="AC113" s="1">
        <v>41.78</v>
      </c>
      <c r="AD113" s="1"/>
      <c r="AE113" s="23">
        <v>0</v>
      </c>
      <c r="AF113" s="15">
        <f t="shared" si="114"/>
        <v>41.78</v>
      </c>
      <c r="AG113" s="26">
        <v>0</v>
      </c>
      <c r="AH113" s="1">
        <v>38.68</v>
      </c>
      <c r="AI113" s="1">
        <v>18.6</v>
      </c>
      <c r="AJ113" s="23">
        <v>0</v>
      </c>
      <c r="AK113" s="15">
        <f t="shared" si="106"/>
        <v>38.68</v>
      </c>
      <c r="AL113" s="26">
        <f t="shared" si="119"/>
        <v>0</v>
      </c>
      <c r="AM113" s="26">
        <f t="shared" si="119"/>
        <v>38.68</v>
      </c>
      <c r="AN113" s="26">
        <f t="shared" si="128"/>
        <v>18.6</v>
      </c>
      <c r="AO113" s="23">
        <v>0</v>
      </c>
      <c r="AP113" s="15">
        <f t="shared" si="107"/>
        <v>38.68</v>
      </c>
      <c r="AQ113" s="26">
        <f t="shared" si="120"/>
        <v>0</v>
      </c>
      <c r="AR113" s="26">
        <f t="shared" si="120"/>
        <v>38.68</v>
      </c>
      <c r="AS113" s="26">
        <f t="shared" si="121"/>
        <v>18.6</v>
      </c>
      <c r="AT113" s="23">
        <v>0</v>
      </c>
      <c r="AU113" s="15">
        <f t="shared" si="108"/>
        <v>38.68</v>
      </c>
      <c r="AV113" s="26">
        <f t="shared" si="122"/>
        <v>0</v>
      </c>
      <c r="AW113" s="26">
        <f t="shared" si="122"/>
        <v>38.68</v>
      </c>
      <c r="AX113" s="26">
        <f t="shared" si="129"/>
        <v>18.6</v>
      </c>
      <c r="AY113" s="26"/>
      <c r="AZ113" s="15">
        <f t="shared" si="115"/>
        <v>38.68</v>
      </c>
      <c r="BA113" s="26">
        <f t="shared" si="130"/>
        <v>0</v>
      </c>
      <c r="BB113" s="26">
        <f t="shared" si="130"/>
        <v>38.68</v>
      </c>
      <c r="BC113" s="26">
        <f t="shared" si="131"/>
        <v>18.6</v>
      </c>
      <c r="BD113" s="23">
        <v>0</v>
      </c>
      <c r="BE113" s="15">
        <f t="shared" si="109"/>
        <v>38.68</v>
      </c>
      <c r="BF113" s="26">
        <f t="shared" si="123"/>
        <v>0</v>
      </c>
      <c r="BG113" s="26">
        <f t="shared" si="123"/>
        <v>38.68</v>
      </c>
      <c r="BH113" s="26">
        <f t="shared" si="124"/>
        <v>18.6</v>
      </c>
      <c r="BI113" s="23">
        <v>0</v>
      </c>
      <c r="BJ113" s="15">
        <f t="shared" si="110"/>
        <v>38.68</v>
      </c>
      <c r="BK113" s="26">
        <f t="shared" si="125"/>
        <v>0</v>
      </c>
      <c r="BL113" s="26">
        <f t="shared" si="125"/>
        <v>38.68</v>
      </c>
      <c r="BM113" s="26">
        <f t="shared" si="132"/>
        <v>18.6</v>
      </c>
      <c r="BN113" s="26">
        <f t="shared" si="126"/>
        <v>0</v>
      </c>
      <c r="BO113" s="15">
        <f t="shared" si="111"/>
        <v>38.68</v>
      </c>
      <c r="BP113" s="20"/>
      <c r="BQ113" s="18"/>
    </row>
    <row r="114" spans="1:69" s="19" customFormat="1" ht="30">
      <c r="A114" s="21">
        <v>2501</v>
      </c>
      <c r="B114" s="2" t="s">
        <v>196</v>
      </c>
      <c r="C114" s="43">
        <v>0</v>
      </c>
      <c r="D114" s="27">
        <f>7.81+E114</f>
        <v>11.26</v>
      </c>
      <c r="E114" s="27">
        <v>3.45</v>
      </c>
      <c r="F114" s="23">
        <v>0</v>
      </c>
      <c r="G114" s="15">
        <f t="shared" si="127"/>
        <v>11.26</v>
      </c>
      <c r="H114" s="26">
        <v>0</v>
      </c>
      <c r="I114" s="26">
        <f>15.8+J114</f>
        <v>19.380000000000003</v>
      </c>
      <c r="J114" s="26">
        <v>3.58</v>
      </c>
      <c r="K114" s="23">
        <v>0</v>
      </c>
      <c r="L114" s="15">
        <f t="shared" si="118"/>
        <v>19.380000000000003</v>
      </c>
      <c r="M114" s="26">
        <v>0</v>
      </c>
      <c r="N114" s="26">
        <f>18.33+O114</f>
        <v>19.819999999999997</v>
      </c>
      <c r="O114" s="26">
        <v>1.49</v>
      </c>
      <c r="P114" s="23">
        <v>0</v>
      </c>
      <c r="Q114" s="25">
        <f t="shared" si="116"/>
        <v>19.819999999999997</v>
      </c>
      <c r="R114" s="26">
        <v>0</v>
      </c>
      <c r="S114" s="26">
        <v>20.33</v>
      </c>
      <c r="T114" s="26">
        <v>0</v>
      </c>
      <c r="U114" s="23">
        <v>0</v>
      </c>
      <c r="V114" s="15">
        <f t="shared" si="112"/>
        <v>20.33</v>
      </c>
      <c r="W114" s="26"/>
      <c r="X114" s="26">
        <v>20.8</v>
      </c>
      <c r="Y114" s="26">
        <v>0</v>
      </c>
      <c r="Z114" s="23">
        <v>0</v>
      </c>
      <c r="AA114" s="15">
        <f t="shared" si="113"/>
        <v>20.8</v>
      </c>
      <c r="AB114" s="26">
        <v>0</v>
      </c>
      <c r="AC114" s="1">
        <v>15.49</v>
      </c>
      <c r="AD114" s="26">
        <v>0</v>
      </c>
      <c r="AE114" s="23">
        <v>0</v>
      </c>
      <c r="AF114" s="15">
        <f t="shared" si="114"/>
        <v>15.49</v>
      </c>
      <c r="AG114" s="26">
        <v>0</v>
      </c>
      <c r="AH114" s="1">
        <v>21.19</v>
      </c>
      <c r="AI114" s="26">
        <v>0</v>
      </c>
      <c r="AJ114" s="23">
        <v>0</v>
      </c>
      <c r="AK114" s="15">
        <f t="shared" si="106"/>
        <v>21.19</v>
      </c>
      <c r="AL114" s="26">
        <f t="shared" si="119"/>
        <v>0</v>
      </c>
      <c r="AM114" s="26">
        <f t="shared" si="119"/>
        <v>21.19</v>
      </c>
      <c r="AN114" s="26">
        <f t="shared" si="128"/>
        <v>0</v>
      </c>
      <c r="AO114" s="23">
        <v>0</v>
      </c>
      <c r="AP114" s="15">
        <f t="shared" si="107"/>
        <v>21.19</v>
      </c>
      <c r="AQ114" s="26">
        <f t="shared" si="120"/>
        <v>0</v>
      </c>
      <c r="AR114" s="26">
        <f t="shared" si="120"/>
        <v>21.19</v>
      </c>
      <c r="AS114" s="26">
        <f t="shared" si="121"/>
        <v>0</v>
      </c>
      <c r="AT114" s="23">
        <v>0</v>
      </c>
      <c r="AU114" s="15">
        <f t="shared" si="108"/>
        <v>21.19</v>
      </c>
      <c r="AV114" s="26">
        <f t="shared" si="122"/>
        <v>0</v>
      </c>
      <c r="AW114" s="26">
        <f t="shared" si="122"/>
        <v>21.19</v>
      </c>
      <c r="AX114" s="26">
        <f t="shared" si="129"/>
        <v>0</v>
      </c>
      <c r="AY114" s="26"/>
      <c r="AZ114" s="15">
        <f t="shared" si="115"/>
        <v>21.19</v>
      </c>
      <c r="BA114" s="26">
        <f t="shared" si="130"/>
        <v>0</v>
      </c>
      <c r="BB114" s="26">
        <f t="shared" si="130"/>
        <v>21.19</v>
      </c>
      <c r="BC114" s="26">
        <f t="shared" si="131"/>
        <v>0</v>
      </c>
      <c r="BD114" s="23">
        <v>0</v>
      </c>
      <c r="BE114" s="15">
        <f t="shared" si="109"/>
        <v>21.19</v>
      </c>
      <c r="BF114" s="26">
        <f t="shared" si="123"/>
        <v>0</v>
      </c>
      <c r="BG114" s="26">
        <f t="shared" si="123"/>
        <v>21.19</v>
      </c>
      <c r="BH114" s="26">
        <f t="shared" si="124"/>
        <v>0</v>
      </c>
      <c r="BI114" s="23">
        <v>0</v>
      </c>
      <c r="BJ114" s="15">
        <f t="shared" si="110"/>
        <v>21.19</v>
      </c>
      <c r="BK114" s="26">
        <f t="shared" si="125"/>
        <v>0</v>
      </c>
      <c r="BL114" s="26">
        <f t="shared" si="125"/>
        <v>21.19</v>
      </c>
      <c r="BM114" s="26">
        <f t="shared" si="132"/>
        <v>0</v>
      </c>
      <c r="BN114" s="26">
        <f t="shared" si="126"/>
        <v>0</v>
      </c>
      <c r="BO114" s="15">
        <f t="shared" si="111"/>
        <v>21.19</v>
      </c>
      <c r="BP114" s="20"/>
      <c r="BQ114" s="18"/>
    </row>
    <row r="115" spans="1:69" s="19" customFormat="1" ht="15">
      <c r="A115" s="21">
        <v>2505</v>
      </c>
      <c r="B115" s="2" t="s">
        <v>197</v>
      </c>
      <c r="C115" s="40">
        <v>0</v>
      </c>
      <c r="D115" s="31">
        <v>5.24</v>
      </c>
      <c r="E115" s="40">
        <v>0</v>
      </c>
      <c r="F115" s="23">
        <v>0</v>
      </c>
      <c r="G115" s="15">
        <f t="shared" si="127"/>
        <v>5.24</v>
      </c>
      <c r="H115" s="26">
        <v>0</v>
      </c>
      <c r="I115" s="26">
        <v>3.63</v>
      </c>
      <c r="J115" s="26">
        <v>0</v>
      </c>
      <c r="K115" s="23">
        <v>0</v>
      </c>
      <c r="L115" s="15">
        <f t="shared" si="118"/>
        <v>3.63</v>
      </c>
      <c r="M115" s="26">
        <v>0</v>
      </c>
      <c r="N115" s="26">
        <v>3.09</v>
      </c>
      <c r="O115" s="26">
        <v>0</v>
      </c>
      <c r="P115" s="23">
        <v>0</v>
      </c>
      <c r="Q115" s="25">
        <f t="shared" si="116"/>
        <v>3.09</v>
      </c>
      <c r="R115" s="26">
        <v>0</v>
      </c>
      <c r="S115" s="26">
        <v>0.74</v>
      </c>
      <c r="T115" s="26">
        <v>0</v>
      </c>
      <c r="U115" s="23">
        <v>0</v>
      </c>
      <c r="V115" s="15">
        <f t="shared" si="112"/>
        <v>0.74</v>
      </c>
      <c r="W115" s="26">
        <v>0</v>
      </c>
      <c r="X115" s="26">
        <v>3.5</v>
      </c>
      <c r="Y115" s="26">
        <v>0</v>
      </c>
      <c r="Z115" s="23">
        <v>0</v>
      </c>
      <c r="AA115" s="15">
        <f t="shared" si="113"/>
        <v>3.5</v>
      </c>
      <c r="AB115" s="26">
        <v>0</v>
      </c>
      <c r="AC115" s="1">
        <v>6</v>
      </c>
      <c r="AD115" s="26">
        <v>0</v>
      </c>
      <c r="AE115" s="23">
        <v>0</v>
      </c>
      <c r="AF115" s="15">
        <f t="shared" si="114"/>
        <v>6</v>
      </c>
      <c r="AG115" s="26">
        <v>0</v>
      </c>
      <c r="AH115" s="1">
        <v>6.15</v>
      </c>
      <c r="AI115" s="26">
        <v>0</v>
      </c>
      <c r="AJ115" s="23">
        <v>0</v>
      </c>
      <c r="AK115" s="15">
        <f t="shared" si="106"/>
        <v>6.15</v>
      </c>
      <c r="AL115" s="26">
        <f t="shared" si="119"/>
        <v>0</v>
      </c>
      <c r="AM115" s="26">
        <f t="shared" si="119"/>
        <v>6.15</v>
      </c>
      <c r="AN115" s="26">
        <f t="shared" si="128"/>
        <v>0</v>
      </c>
      <c r="AO115" s="23">
        <v>0</v>
      </c>
      <c r="AP115" s="15">
        <f t="shared" si="107"/>
        <v>6.15</v>
      </c>
      <c r="AQ115" s="26">
        <f t="shared" si="120"/>
        <v>0</v>
      </c>
      <c r="AR115" s="26">
        <f t="shared" si="120"/>
        <v>6.15</v>
      </c>
      <c r="AS115" s="26">
        <f t="shared" si="121"/>
        <v>0</v>
      </c>
      <c r="AT115" s="23">
        <v>0</v>
      </c>
      <c r="AU115" s="15">
        <f t="shared" si="108"/>
        <v>6.15</v>
      </c>
      <c r="AV115" s="26">
        <f t="shared" si="122"/>
        <v>0</v>
      </c>
      <c r="AW115" s="26">
        <f t="shared" si="122"/>
        <v>6.15</v>
      </c>
      <c r="AX115" s="26">
        <f t="shared" si="129"/>
        <v>0</v>
      </c>
      <c r="AY115" s="26"/>
      <c r="AZ115" s="15">
        <f t="shared" si="115"/>
        <v>6.15</v>
      </c>
      <c r="BA115" s="26">
        <f t="shared" si="130"/>
        <v>0</v>
      </c>
      <c r="BB115" s="26">
        <f t="shared" si="130"/>
        <v>6.15</v>
      </c>
      <c r="BC115" s="26">
        <f t="shared" si="131"/>
        <v>0</v>
      </c>
      <c r="BD115" s="23">
        <v>0</v>
      </c>
      <c r="BE115" s="15">
        <f t="shared" si="109"/>
        <v>6.15</v>
      </c>
      <c r="BF115" s="26">
        <f t="shared" si="123"/>
        <v>0</v>
      </c>
      <c r="BG115" s="26">
        <f t="shared" si="123"/>
        <v>6.15</v>
      </c>
      <c r="BH115" s="26">
        <f t="shared" si="124"/>
        <v>0</v>
      </c>
      <c r="BI115" s="23">
        <v>0</v>
      </c>
      <c r="BJ115" s="15">
        <f t="shared" si="110"/>
        <v>6.15</v>
      </c>
      <c r="BK115" s="26">
        <f t="shared" si="125"/>
        <v>0</v>
      </c>
      <c r="BL115" s="26">
        <f t="shared" si="125"/>
        <v>6.15</v>
      </c>
      <c r="BM115" s="26">
        <f t="shared" si="132"/>
        <v>0</v>
      </c>
      <c r="BN115" s="26">
        <f t="shared" si="126"/>
        <v>0</v>
      </c>
      <c r="BO115" s="15">
        <f t="shared" si="111"/>
        <v>6.15</v>
      </c>
      <c r="BP115" s="20"/>
      <c r="BQ115" s="18"/>
    </row>
    <row r="116" spans="1:69" s="19" customFormat="1" ht="30">
      <c r="A116" s="21">
        <v>701</v>
      </c>
      <c r="B116" s="2" t="s">
        <v>83</v>
      </c>
      <c r="C116" s="46">
        <v>0</v>
      </c>
      <c r="D116" s="46">
        <v>0</v>
      </c>
      <c r="E116" s="46">
        <v>0</v>
      </c>
      <c r="F116" s="23">
        <v>0</v>
      </c>
      <c r="G116" s="15">
        <f t="shared" si="127"/>
        <v>0</v>
      </c>
      <c r="H116" s="26">
        <v>0</v>
      </c>
      <c r="I116" s="26">
        <v>0</v>
      </c>
      <c r="J116" s="26">
        <v>0</v>
      </c>
      <c r="K116" s="23">
        <v>0</v>
      </c>
      <c r="L116" s="15">
        <f t="shared" si="118"/>
        <v>0</v>
      </c>
      <c r="M116" s="26">
        <v>0</v>
      </c>
      <c r="N116" s="26">
        <v>0</v>
      </c>
      <c r="O116" s="26">
        <v>0</v>
      </c>
      <c r="P116" s="23">
        <v>0</v>
      </c>
      <c r="Q116" s="25">
        <f t="shared" si="116"/>
        <v>0</v>
      </c>
      <c r="R116" s="26">
        <v>0</v>
      </c>
      <c r="S116" s="26">
        <v>0</v>
      </c>
      <c r="T116" s="26">
        <v>0</v>
      </c>
      <c r="U116" s="23">
        <v>0</v>
      </c>
      <c r="V116" s="15">
        <f t="shared" si="112"/>
        <v>0</v>
      </c>
      <c r="W116" s="26">
        <v>0</v>
      </c>
      <c r="X116" s="26">
        <v>0</v>
      </c>
      <c r="Y116" s="26">
        <v>0</v>
      </c>
      <c r="Z116" s="23">
        <v>0</v>
      </c>
      <c r="AA116" s="15">
        <f t="shared" si="113"/>
        <v>0</v>
      </c>
      <c r="AB116" s="26">
        <v>0</v>
      </c>
      <c r="AC116" s="26">
        <v>0</v>
      </c>
      <c r="AD116" s="26">
        <v>0</v>
      </c>
      <c r="AE116" s="23">
        <v>0</v>
      </c>
      <c r="AF116" s="15">
        <f t="shared" si="114"/>
        <v>0</v>
      </c>
      <c r="AG116" s="26">
        <v>0</v>
      </c>
      <c r="AH116" s="26">
        <v>0</v>
      </c>
      <c r="AI116" s="26">
        <v>0</v>
      </c>
      <c r="AJ116" s="23">
        <v>0</v>
      </c>
      <c r="AK116" s="15">
        <f t="shared" si="106"/>
        <v>0</v>
      </c>
      <c r="AL116" s="26">
        <f t="shared" si="119"/>
        <v>0</v>
      </c>
      <c r="AM116" s="26">
        <f t="shared" si="119"/>
        <v>0</v>
      </c>
      <c r="AN116" s="26">
        <f t="shared" si="128"/>
        <v>0</v>
      </c>
      <c r="AO116" s="23">
        <v>0</v>
      </c>
      <c r="AP116" s="15">
        <f t="shared" si="107"/>
        <v>0</v>
      </c>
      <c r="AQ116" s="26">
        <f t="shared" si="120"/>
        <v>0</v>
      </c>
      <c r="AR116" s="26">
        <f t="shared" si="120"/>
        <v>0</v>
      </c>
      <c r="AS116" s="26">
        <f t="shared" si="121"/>
        <v>0</v>
      </c>
      <c r="AT116" s="23">
        <v>0</v>
      </c>
      <c r="AU116" s="15">
        <f t="shared" si="108"/>
        <v>0</v>
      </c>
      <c r="AV116" s="26">
        <f t="shared" si="122"/>
        <v>0</v>
      </c>
      <c r="AW116" s="26">
        <f t="shared" si="122"/>
        <v>0</v>
      </c>
      <c r="AX116" s="26">
        <f t="shared" si="129"/>
        <v>0</v>
      </c>
      <c r="AY116" s="26"/>
      <c r="AZ116" s="15">
        <f t="shared" si="115"/>
        <v>0</v>
      </c>
      <c r="BA116" s="26">
        <f t="shared" si="130"/>
        <v>0</v>
      </c>
      <c r="BB116" s="26">
        <f t="shared" si="130"/>
        <v>0</v>
      </c>
      <c r="BC116" s="26">
        <f t="shared" si="131"/>
        <v>0</v>
      </c>
      <c r="BD116" s="23">
        <v>0</v>
      </c>
      <c r="BE116" s="15">
        <f t="shared" si="109"/>
        <v>0</v>
      </c>
      <c r="BF116" s="26">
        <f t="shared" si="123"/>
        <v>0</v>
      </c>
      <c r="BG116" s="26">
        <f t="shared" si="123"/>
        <v>0</v>
      </c>
      <c r="BH116" s="26">
        <f t="shared" si="124"/>
        <v>0</v>
      </c>
      <c r="BI116" s="23">
        <v>0</v>
      </c>
      <c r="BJ116" s="15">
        <f t="shared" si="110"/>
        <v>0</v>
      </c>
      <c r="BK116" s="26">
        <f t="shared" si="125"/>
        <v>0</v>
      </c>
      <c r="BL116" s="26">
        <f t="shared" si="125"/>
        <v>0</v>
      </c>
      <c r="BM116" s="26">
        <f t="shared" si="132"/>
        <v>0</v>
      </c>
      <c r="BN116" s="26">
        <f t="shared" si="126"/>
        <v>0</v>
      </c>
      <c r="BO116" s="15">
        <f t="shared" si="111"/>
        <v>0</v>
      </c>
      <c r="BP116" s="20"/>
      <c r="BQ116" s="18"/>
    </row>
    <row r="117" spans="1:69" s="19" customFormat="1" ht="30">
      <c r="A117" s="21"/>
      <c r="B117" s="2" t="s">
        <v>84</v>
      </c>
      <c r="C117" s="46">
        <v>0</v>
      </c>
      <c r="D117" s="46">
        <v>0</v>
      </c>
      <c r="E117" s="46">
        <v>0</v>
      </c>
      <c r="F117" s="23">
        <v>0</v>
      </c>
      <c r="G117" s="15">
        <f t="shared" si="127"/>
        <v>0</v>
      </c>
      <c r="H117" s="26">
        <v>0</v>
      </c>
      <c r="I117" s="26">
        <v>0</v>
      </c>
      <c r="J117" s="26">
        <v>0</v>
      </c>
      <c r="K117" s="23">
        <v>0</v>
      </c>
      <c r="L117" s="15">
        <f t="shared" si="118"/>
        <v>0</v>
      </c>
      <c r="M117" s="26">
        <v>0</v>
      </c>
      <c r="N117" s="26">
        <v>0</v>
      </c>
      <c r="O117" s="26">
        <v>0</v>
      </c>
      <c r="P117" s="23">
        <v>0</v>
      </c>
      <c r="Q117" s="25">
        <f t="shared" si="116"/>
        <v>0</v>
      </c>
      <c r="R117" s="26">
        <v>0</v>
      </c>
      <c r="S117" s="26">
        <v>0</v>
      </c>
      <c r="T117" s="26">
        <v>0</v>
      </c>
      <c r="U117" s="23">
        <v>0</v>
      </c>
      <c r="V117" s="15">
        <f t="shared" si="112"/>
        <v>0</v>
      </c>
      <c r="W117" s="26">
        <v>0</v>
      </c>
      <c r="X117" s="26">
        <v>0</v>
      </c>
      <c r="Y117" s="26">
        <v>0</v>
      </c>
      <c r="Z117" s="23">
        <v>0</v>
      </c>
      <c r="AA117" s="15">
        <f t="shared" si="113"/>
        <v>0</v>
      </c>
      <c r="AB117" s="26">
        <v>0</v>
      </c>
      <c r="AC117" s="26">
        <v>0</v>
      </c>
      <c r="AD117" s="26">
        <v>0</v>
      </c>
      <c r="AE117" s="23">
        <v>0</v>
      </c>
      <c r="AF117" s="15">
        <f t="shared" si="114"/>
        <v>0</v>
      </c>
      <c r="AG117" s="26">
        <v>0</v>
      </c>
      <c r="AH117" s="26">
        <v>0</v>
      </c>
      <c r="AI117" s="26">
        <v>0</v>
      </c>
      <c r="AJ117" s="23">
        <v>0</v>
      </c>
      <c r="AK117" s="15">
        <f t="shared" si="106"/>
        <v>0</v>
      </c>
      <c r="AL117" s="26">
        <f t="shared" si="119"/>
        <v>0</v>
      </c>
      <c r="AM117" s="26">
        <f t="shared" si="119"/>
        <v>0</v>
      </c>
      <c r="AN117" s="26">
        <f t="shared" si="128"/>
        <v>0</v>
      </c>
      <c r="AO117" s="23">
        <v>0</v>
      </c>
      <c r="AP117" s="15">
        <f t="shared" si="107"/>
        <v>0</v>
      </c>
      <c r="AQ117" s="26">
        <f t="shared" si="120"/>
        <v>0</v>
      </c>
      <c r="AR117" s="26">
        <f t="shared" si="120"/>
        <v>0</v>
      </c>
      <c r="AS117" s="26">
        <f t="shared" si="121"/>
        <v>0</v>
      </c>
      <c r="AT117" s="23">
        <v>0</v>
      </c>
      <c r="AU117" s="15">
        <f t="shared" si="108"/>
        <v>0</v>
      </c>
      <c r="AV117" s="26">
        <f t="shared" si="122"/>
        <v>0</v>
      </c>
      <c r="AW117" s="26">
        <f t="shared" si="122"/>
        <v>0</v>
      </c>
      <c r="AX117" s="26">
        <f t="shared" si="129"/>
        <v>0</v>
      </c>
      <c r="AY117" s="26"/>
      <c r="AZ117" s="15">
        <f t="shared" si="115"/>
        <v>0</v>
      </c>
      <c r="BA117" s="26">
        <f t="shared" si="130"/>
        <v>0</v>
      </c>
      <c r="BB117" s="26">
        <f t="shared" si="130"/>
        <v>0</v>
      </c>
      <c r="BC117" s="26">
        <f t="shared" si="131"/>
        <v>0</v>
      </c>
      <c r="BD117" s="23">
        <v>0</v>
      </c>
      <c r="BE117" s="15">
        <f t="shared" si="109"/>
        <v>0</v>
      </c>
      <c r="BF117" s="26">
        <f t="shared" si="123"/>
        <v>0</v>
      </c>
      <c r="BG117" s="26">
        <f t="shared" si="123"/>
        <v>0</v>
      </c>
      <c r="BH117" s="26">
        <f t="shared" si="124"/>
        <v>0</v>
      </c>
      <c r="BI117" s="23">
        <v>0</v>
      </c>
      <c r="BJ117" s="15">
        <f t="shared" si="110"/>
        <v>0</v>
      </c>
      <c r="BK117" s="26">
        <f t="shared" si="125"/>
        <v>0</v>
      </c>
      <c r="BL117" s="26">
        <f t="shared" si="125"/>
        <v>0</v>
      </c>
      <c r="BM117" s="26">
        <f t="shared" si="132"/>
        <v>0</v>
      </c>
      <c r="BN117" s="26">
        <f t="shared" si="126"/>
        <v>0</v>
      </c>
      <c r="BO117" s="15">
        <f t="shared" si="111"/>
        <v>0</v>
      </c>
      <c r="BP117" s="20"/>
      <c r="BQ117" s="18"/>
    </row>
    <row r="118" spans="1:69" s="19" customFormat="1" ht="30">
      <c r="A118" s="21"/>
      <c r="B118" s="2" t="s">
        <v>85</v>
      </c>
      <c r="C118" s="46">
        <v>0</v>
      </c>
      <c r="D118" s="46">
        <v>0</v>
      </c>
      <c r="E118" s="46">
        <v>0</v>
      </c>
      <c r="F118" s="23">
        <v>0</v>
      </c>
      <c r="G118" s="15">
        <f t="shared" si="127"/>
        <v>0</v>
      </c>
      <c r="H118" s="26">
        <v>0</v>
      </c>
      <c r="I118" s="26">
        <v>0</v>
      </c>
      <c r="J118" s="26">
        <v>0</v>
      </c>
      <c r="K118" s="23">
        <v>0</v>
      </c>
      <c r="L118" s="15">
        <f t="shared" si="118"/>
        <v>0</v>
      </c>
      <c r="M118" s="26">
        <v>0</v>
      </c>
      <c r="N118" s="26">
        <v>0</v>
      </c>
      <c r="O118" s="26">
        <v>0</v>
      </c>
      <c r="P118" s="23">
        <v>0</v>
      </c>
      <c r="Q118" s="25">
        <f t="shared" si="116"/>
        <v>0</v>
      </c>
      <c r="R118" s="26">
        <v>0</v>
      </c>
      <c r="S118" s="26">
        <v>0</v>
      </c>
      <c r="T118" s="26">
        <v>0</v>
      </c>
      <c r="U118" s="23">
        <v>0</v>
      </c>
      <c r="V118" s="15">
        <f t="shared" si="112"/>
        <v>0</v>
      </c>
      <c r="W118" s="26">
        <v>0</v>
      </c>
      <c r="X118" s="26">
        <v>0</v>
      </c>
      <c r="Y118" s="26">
        <v>0</v>
      </c>
      <c r="Z118" s="23">
        <v>0</v>
      </c>
      <c r="AA118" s="15">
        <f t="shared" si="113"/>
        <v>0</v>
      </c>
      <c r="AB118" s="26">
        <v>0</v>
      </c>
      <c r="AC118" s="26">
        <v>0</v>
      </c>
      <c r="AD118" s="26">
        <v>0</v>
      </c>
      <c r="AE118" s="23">
        <v>0</v>
      </c>
      <c r="AF118" s="15">
        <f t="shared" si="114"/>
        <v>0</v>
      </c>
      <c r="AG118" s="26">
        <v>0</v>
      </c>
      <c r="AH118" s="26">
        <v>0</v>
      </c>
      <c r="AI118" s="26">
        <v>0</v>
      </c>
      <c r="AJ118" s="23">
        <v>0</v>
      </c>
      <c r="AK118" s="15">
        <f t="shared" si="106"/>
        <v>0</v>
      </c>
      <c r="AL118" s="26">
        <f t="shared" si="119"/>
        <v>0</v>
      </c>
      <c r="AM118" s="26">
        <f t="shared" si="119"/>
        <v>0</v>
      </c>
      <c r="AN118" s="26">
        <f t="shared" si="128"/>
        <v>0</v>
      </c>
      <c r="AO118" s="23">
        <v>0</v>
      </c>
      <c r="AP118" s="15">
        <f t="shared" si="107"/>
        <v>0</v>
      </c>
      <c r="AQ118" s="26">
        <f t="shared" si="120"/>
        <v>0</v>
      </c>
      <c r="AR118" s="26">
        <f t="shared" si="120"/>
        <v>0</v>
      </c>
      <c r="AS118" s="26">
        <f t="shared" si="121"/>
        <v>0</v>
      </c>
      <c r="AT118" s="23">
        <v>0</v>
      </c>
      <c r="AU118" s="15">
        <f t="shared" si="108"/>
        <v>0</v>
      </c>
      <c r="AV118" s="26">
        <f t="shared" si="122"/>
        <v>0</v>
      </c>
      <c r="AW118" s="26">
        <f t="shared" si="122"/>
        <v>0</v>
      </c>
      <c r="AX118" s="26">
        <f t="shared" si="129"/>
        <v>0</v>
      </c>
      <c r="AY118" s="26"/>
      <c r="AZ118" s="15">
        <f t="shared" si="115"/>
        <v>0</v>
      </c>
      <c r="BA118" s="26">
        <f t="shared" si="130"/>
        <v>0</v>
      </c>
      <c r="BB118" s="26">
        <f t="shared" si="130"/>
        <v>0</v>
      </c>
      <c r="BC118" s="26">
        <f t="shared" si="131"/>
        <v>0</v>
      </c>
      <c r="BD118" s="23">
        <v>0</v>
      </c>
      <c r="BE118" s="15">
        <f t="shared" si="109"/>
        <v>0</v>
      </c>
      <c r="BF118" s="26">
        <f t="shared" si="123"/>
        <v>0</v>
      </c>
      <c r="BG118" s="26">
        <f t="shared" si="123"/>
        <v>0</v>
      </c>
      <c r="BH118" s="26">
        <f t="shared" si="124"/>
        <v>0</v>
      </c>
      <c r="BI118" s="23">
        <v>0</v>
      </c>
      <c r="BJ118" s="15">
        <f t="shared" si="110"/>
        <v>0</v>
      </c>
      <c r="BK118" s="26">
        <f t="shared" si="125"/>
        <v>0</v>
      </c>
      <c r="BL118" s="26">
        <f t="shared" si="125"/>
        <v>0</v>
      </c>
      <c r="BM118" s="26">
        <f t="shared" si="132"/>
        <v>0</v>
      </c>
      <c r="BN118" s="26">
        <f t="shared" si="126"/>
        <v>0</v>
      </c>
      <c r="BO118" s="15">
        <f t="shared" si="111"/>
        <v>0</v>
      </c>
      <c r="BP118" s="20"/>
      <c r="BQ118" s="18"/>
    </row>
    <row r="119" spans="1:69" s="19" customFormat="1" ht="30">
      <c r="A119" s="21"/>
      <c r="B119" s="2" t="s">
        <v>86</v>
      </c>
      <c r="C119" s="46">
        <v>0</v>
      </c>
      <c r="D119" s="46">
        <v>0</v>
      </c>
      <c r="E119" s="46">
        <v>0</v>
      </c>
      <c r="F119" s="23">
        <v>0</v>
      </c>
      <c r="G119" s="15">
        <f t="shared" si="127"/>
        <v>0</v>
      </c>
      <c r="H119" s="26">
        <v>0</v>
      </c>
      <c r="I119" s="26">
        <v>0</v>
      </c>
      <c r="J119" s="26">
        <v>0</v>
      </c>
      <c r="K119" s="23">
        <v>0</v>
      </c>
      <c r="L119" s="15">
        <f t="shared" si="118"/>
        <v>0</v>
      </c>
      <c r="M119" s="26">
        <v>0</v>
      </c>
      <c r="N119" s="26">
        <v>0</v>
      </c>
      <c r="O119" s="26">
        <v>0</v>
      </c>
      <c r="P119" s="23">
        <v>0</v>
      </c>
      <c r="Q119" s="25">
        <f t="shared" si="116"/>
        <v>0</v>
      </c>
      <c r="R119" s="26">
        <v>0</v>
      </c>
      <c r="S119" s="26">
        <v>0</v>
      </c>
      <c r="T119" s="26">
        <v>0</v>
      </c>
      <c r="U119" s="23">
        <v>0</v>
      </c>
      <c r="V119" s="15">
        <f t="shared" si="112"/>
        <v>0</v>
      </c>
      <c r="W119" s="26">
        <v>0</v>
      </c>
      <c r="X119" s="26">
        <v>0</v>
      </c>
      <c r="Y119" s="26">
        <v>0</v>
      </c>
      <c r="Z119" s="23">
        <v>0</v>
      </c>
      <c r="AA119" s="15">
        <f t="shared" si="113"/>
        <v>0</v>
      </c>
      <c r="AB119" s="26">
        <v>0</v>
      </c>
      <c r="AC119" s="26">
        <v>0</v>
      </c>
      <c r="AD119" s="26">
        <v>0</v>
      </c>
      <c r="AE119" s="23">
        <v>0</v>
      </c>
      <c r="AF119" s="15">
        <f t="shared" si="114"/>
        <v>0</v>
      </c>
      <c r="AG119" s="26">
        <v>0</v>
      </c>
      <c r="AH119" s="26">
        <v>0</v>
      </c>
      <c r="AI119" s="26">
        <v>0</v>
      </c>
      <c r="AJ119" s="23">
        <v>0</v>
      </c>
      <c r="AK119" s="15">
        <f t="shared" si="106"/>
        <v>0</v>
      </c>
      <c r="AL119" s="26">
        <f t="shared" si="119"/>
        <v>0</v>
      </c>
      <c r="AM119" s="26">
        <f t="shared" si="119"/>
        <v>0</v>
      </c>
      <c r="AN119" s="26">
        <f t="shared" si="128"/>
        <v>0</v>
      </c>
      <c r="AO119" s="23">
        <v>0</v>
      </c>
      <c r="AP119" s="15">
        <f t="shared" si="107"/>
        <v>0</v>
      </c>
      <c r="AQ119" s="26">
        <f t="shared" si="120"/>
        <v>0</v>
      </c>
      <c r="AR119" s="26">
        <f t="shared" si="120"/>
        <v>0</v>
      </c>
      <c r="AS119" s="26">
        <f t="shared" si="121"/>
        <v>0</v>
      </c>
      <c r="AT119" s="23">
        <v>0</v>
      </c>
      <c r="AU119" s="15">
        <f t="shared" si="108"/>
        <v>0</v>
      </c>
      <c r="AV119" s="26">
        <f t="shared" si="122"/>
        <v>0</v>
      </c>
      <c r="AW119" s="26">
        <f t="shared" si="122"/>
        <v>0</v>
      </c>
      <c r="AX119" s="26">
        <f t="shared" si="129"/>
        <v>0</v>
      </c>
      <c r="AY119" s="26"/>
      <c r="AZ119" s="15">
        <f t="shared" si="115"/>
        <v>0</v>
      </c>
      <c r="BA119" s="26">
        <f t="shared" si="130"/>
        <v>0</v>
      </c>
      <c r="BB119" s="26">
        <f t="shared" si="130"/>
        <v>0</v>
      </c>
      <c r="BC119" s="26">
        <f t="shared" si="131"/>
        <v>0</v>
      </c>
      <c r="BD119" s="23">
        <v>0</v>
      </c>
      <c r="BE119" s="15">
        <f t="shared" si="109"/>
        <v>0</v>
      </c>
      <c r="BF119" s="26">
        <f t="shared" si="123"/>
        <v>0</v>
      </c>
      <c r="BG119" s="26">
        <f t="shared" si="123"/>
        <v>0</v>
      </c>
      <c r="BH119" s="26">
        <f t="shared" si="124"/>
        <v>0</v>
      </c>
      <c r="BI119" s="23">
        <v>0</v>
      </c>
      <c r="BJ119" s="15">
        <f t="shared" si="110"/>
        <v>0</v>
      </c>
      <c r="BK119" s="26">
        <f t="shared" si="125"/>
        <v>0</v>
      </c>
      <c r="BL119" s="26">
        <f t="shared" si="125"/>
        <v>0</v>
      </c>
      <c r="BM119" s="26">
        <f t="shared" si="132"/>
        <v>0</v>
      </c>
      <c r="BN119" s="26">
        <f t="shared" si="126"/>
        <v>0</v>
      </c>
      <c r="BO119" s="15">
        <f t="shared" si="111"/>
        <v>0</v>
      </c>
      <c r="BP119" s="20"/>
      <c r="BQ119" s="18"/>
    </row>
    <row r="120" spans="1:69" s="19" customFormat="1" ht="15">
      <c r="A120" s="21"/>
      <c r="B120" s="2" t="s">
        <v>145</v>
      </c>
      <c r="C120" s="46">
        <v>0</v>
      </c>
      <c r="D120" s="46">
        <v>0</v>
      </c>
      <c r="E120" s="46">
        <v>0</v>
      </c>
      <c r="F120" s="23">
        <v>0</v>
      </c>
      <c r="G120" s="15">
        <f t="shared" si="127"/>
        <v>0</v>
      </c>
      <c r="H120" s="26">
        <v>0</v>
      </c>
      <c r="I120" s="26">
        <v>0</v>
      </c>
      <c r="J120" s="26">
        <v>0</v>
      </c>
      <c r="K120" s="23">
        <v>0</v>
      </c>
      <c r="L120" s="15">
        <f t="shared" si="118"/>
        <v>0</v>
      </c>
      <c r="M120" s="26">
        <v>0</v>
      </c>
      <c r="N120" s="26">
        <v>0</v>
      </c>
      <c r="O120" s="26">
        <v>0</v>
      </c>
      <c r="P120" s="23">
        <v>0</v>
      </c>
      <c r="Q120" s="25">
        <f t="shared" si="116"/>
        <v>0</v>
      </c>
      <c r="R120" s="26">
        <v>0</v>
      </c>
      <c r="S120" s="26">
        <v>0</v>
      </c>
      <c r="T120" s="26">
        <v>0</v>
      </c>
      <c r="U120" s="23">
        <v>0</v>
      </c>
      <c r="V120" s="15">
        <f t="shared" si="112"/>
        <v>0</v>
      </c>
      <c r="W120" s="26">
        <v>0</v>
      </c>
      <c r="X120" s="26">
        <v>0</v>
      </c>
      <c r="Y120" s="26">
        <v>0</v>
      </c>
      <c r="Z120" s="23">
        <v>0</v>
      </c>
      <c r="AA120" s="15">
        <f t="shared" si="113"/>
        <v>0</v>
      </c>
      <c r="AB120" s="26">
        <v>0</v>
      </c>
      <c r="AC120" s="26">
        <v>0</v>
      </c>
      <c r="AD120" s="26">
        <v>0</v>
      </c>
      <c r="AE120" s="23">
        <v>0</v>
      </c>
      <c r="AF120" s="15">
        <f t="shared" si="114"/>
        <v>0</v>
      </c>
      <c r="AG120" s="26">
        <v>0</v>
      </c>
      <c r="AH120" s="26">
        <v>0</v>
      </c>
      <c r="AI120" s="26">
        <v>0</v>
      </c>
      <c r="AJ120" s="23">
        <v>0</v>
      </c>
      <c r="AK120" s="15">
        <f t="shared" si="106"/>
        <v>0</v>
      </c>
      <c r="AL120" s="26">
        <f t="shared" si="119"/>
        <v>0</v>
      </c>
      <c r="AM120" s="26">
        <f t="shared" si="119"/>
        <v>0</v>
      </c>
      <c r="AN120" s="26">
        <f t="shared" si="128"/>
        <v>0</v>
      </c>
      <c r="AO120" s="23">
        <v>0</v>
      </c>
      <c r="AP120" s="15">
        <f t="shared" si="107"/>
        <v>0</v>
      </c>
      <c r="AQ120" s="26">
        <f t="shared" si="120"/>
        <v>0</v>
      </c>
      <c r="AR120" s="26">
        <f t="shared" si="120"/>
        <v>0</v>
      </c>
      <c r="AS120" s="26">
        <f t="shared" si="121"/>
        <v>0</v>
      </c>
      <c r="AT120" s="23">
        <v>0</v>
      </c>
      <c r="AU120" s="15">
        <f t="shared" si="108"/>
        <v>0</v>
      </c>
      <c r="AV120" s="26">
        <f t="shared" si="122"/>
        <v>0</v>
      </c>
      <c r="AW120" s="26">
        <f t="shared" si="122"/>
        <v>0</v>
      </c>
      <c r="AX120" s="26">
        <f t="shared" si="129"/>
        <v>0</v>
      </c>
      <c r="AY120" s="26"/>
      <c r="AZ120" s="15">
        <f t="shared" si="115"/>
        <v>0</v>
      </c>
      <c r="BA120" s="26">
        <f t="shared" si="130"/>
        <v>0</v>
      </c>
      <c r="BB120" s="26">
        <f t="shared" si="130"/>
        <v>0</v>
      </c>
      <c r="BC120" s="26">
        <f t="shared" si="131"/>
        <v>0</v>
      </c>
      <c r="BD120" s="23">
        <v>0</v>
      </c>
      <c r="BE120" s="15">
        <f t="shared" si="109"/>
        <v>0</v>
      </c>
      <c r="BF120" s="26">
        <f t="shared" si="123"/>
        <v>0</v>
      </c>
      <c r="BG120" s="26">
        <f t="shared" si="123"/>
        <v>0</v>
      </c>
      <c r="BH120" s="26">
        <f t="shared" si="124"/>
        <v>0</v>
      </c>
      <c r="BI120" s="23">
        <v>0</v>
      </c>
      <c r="BJ120" s="15">
        <f t="shared" si="110"/>
        <v>0</v>
      </c>
      <c r="BK120" s="26">
        <f t="shared" si="125"/>
        <v>0</v>
      </c>
      <c r="BL120" s="26">
        <f t="shared" si="125"/>
        <v>0</v>
      </c>
      <c r="BM120" s="26">
        <f t="shared" si="132"/>
        <v>0</v>
      </c>
      <c r="BN120" s="26">
        <f t="shared" si="126"/>
        <v>0</v>
      </c>
      <c r="BO120" s="15">
        <f t="shared" si="111"/>
        <v>0</v>
      </c>
      <c r="BP120" s="20"/>
      <c r="BQ120" s="18"/>
    </row>
    <row r="121" spans="1:69" s="19" customFormat="1" ht="15">
      <c r="A121" s="21">
        <v>796</v>
      </c>
      <c r="B121" s="2" t="s">
        <v>87</v>
      </c>
      <c r="C121" s="31">
        <v>0</v>
      </c>
      <c r="D121" s="31">
        <f>0.25+1.08</f>
        <v>1.33</v>
      </c>
      <c r="E121" s="40">
        <v>0</v>
      </c>
      <c r="F121" s="23">
        <v>0</v>
      </c>
      <c r="G121" s="15">
        <f t="shared" si="127"/>
        <v>1.33</v>
      </c>
      <c r="H121" s="26">
        <v>0</v>
      </c>
      <c r="I121" s="26">
        <f>0.2+0.25</f>
        <v>0.45</v>
      </c>
      <c r="J121" s="26">
        <v>0</v>
      </c>
      <c r="K121" s="23">
        <v>0</v>
      </c>
      <c r="L121" s="15">
        <f t="shared" si="118"/>
        <v>0.45</v>
      </c>
      <c r="M121" s="26">
        <v>0</v>
      </c>
      <c r="N121" s="26">
        <f>0.25+0.2</f>
        <v>0.45</v>
      </c>
      <c r="O121" s="26">
        <v>0</v>
      </c>
      <c r="P121" s="23">
        <v>0</v>
      </c>
      <c r="Q121" s="25">
        <f t="shared" si="116"/>
        <v>0.45</v>
      </c>
      <c r="R121" s="26">
        <v>0</v>
      </c>
      <c r="S121" s="26">
        <v>0</v>
      </c>
      <c r="T121" s="26">
        <v>0</v>
      </c>
      <c r="U121" s="23">
        <v>0</v>
      </c>
      <c r="V121" s="15">
        <f t="shared" si="112"/>
        <v>0</v>
      </c>
      <c r="W121" s="26">
        <v>0</v>
      </c>
      <c r="X121" s="26">
        <v>0</v>
      </c>
      <c r="Y121" s="26">
        <v>0</v>
      </c>
      <c r="Z121" s="23">
        <v>0</v>
      </c>
      <c r="AA121" s="15">
        <f t="shared" si="113"/>
        <v>0</v>
      </c>
      <c r="AB121" s="26">
        <v>0</v>
      </c>
      <c r="AC121" s="26">
        <v>0</v>
      </c>
      <c r="AD121" s="26">
        <v>0</v>
      </c>
      <c r="AE121" s="23">
        <v>0</v>
      </c>
      <c r="AF121" s="15">
        <f t="shared" si="114"/>
        <v>0</v>
      </c>
      <c r="AG121" s="26">
        <v>0</v>
      </c>
      <c r="AH121" s="26">
        <v>0</v>
      </c>
      <c r="AI121" s="26">
        <v>0</v>
      </c>
      <c r="AJ121" s="23">
        <v>0</v>
      </c>
      <c r="AK121" s="15">
        <f t="shared" si="106"/>
        <v>0</v>
      </c>
      <c r="AL121" s="26">
        <f t="shared" si="119"/>
        <v>0</v>
      </c>
      <c r="AM121" s="26">
        <f t="shared" si="119"/>
        <v>0</v>
      </c>
      <c r="AN121" s="26">
        <f t="shared" si="128"/>
        <v>0</v>
      </c>
      <c r="AO121" s="23">
        <v>0</v>
      </c>
      <c r="AP121" s="15">
        <f t="shared" si="107"/>
        <v>0</v>
      </c>
      <c r="AQ121" s="26">
        <f t="shared" si="120"/>
        <v>0</v>
      </c>
      <c r="AR121" s="26">
        <f t="shared" si="120"/>
        <v>0</v>
      </c>
      <c r="AS121" s="26">
        <f t="shared" si="121"/>
        <v>0</v>
      </c>
      <c r="AT121" s="23">
        <v>0</v>
      </c>
      <c r="AU121" s="15">
        <f t="shared" si="108"/>
        <v>0</v>
      </c>
      <c r="AV121" s="26">
        <f t="shared" si="122"/>
        <v>0</v>
      </c>
      <c r="AW121" s="26">
        <f t="shared" si="122"/>
        <v>0</v>
      </c>
      <c r="AX121" s="26">
        <f t="shared" si="129"/>
        <v>0</v>
      </c>
      <c r="AY121" s="26"/>
      <c r="AZ121" s="15">
        <f t="shared" si="115"/>
        <v>0</v>
      </c>
      <c r="BA121" s="26">
        <f t="shared" si="130"/>
        <v>0</v>
      </c>
      <c r="BB121" s="26">
        <f t="shared" si="130"/>
        <v>0</v>
      </c>
      <c r="BC121" s="26">
        <f t="shared" si="131"/>
        <v>0</v>
      </c>
      <c r="BD121" s="23">
        <v>0</v>
      </c>
      <c r="BE121" s="15">
        <f t="shared" si="109"/>
        <v>0</v>
      </c>
      <c r="BF121" s="26">
        <f t="shared" si="123"/>
        <v>0</v>
      </c>
      <c r="BG121" s="26">
        <f t="shared" si="123"/>
        <v>0</v>
      </c>
      <c r="BH121" s="26">
        <f t="shared" si="124"/>
        <v>0</v>
      </c>
      <c r="BI121" s="23">
        <v>0</v>
      </c>
      <c r="BJ121" s="15">
        <f t="shared" si="110"/>
        <v>0</v>
      </c>
      <c r="BK121" s="26">
        <f t="shared" si="125"/>
        <v>0</v>
      </c>
      <c r="BL121" s="26">
        <f t="shared" si="125"/>
        <v>0</v>
      </c>
      <c r="BM121" s="26">
        <f t="shared" si="132"/>
        <v>0</v>
      </c>
      <c r="BN121" s="26">
        <f t="shared" si="126"/>
        <v>0</v>
      </c>
      <c r="BO121" s="15">
        <f t="shared" si="111"/>
        <v>0</v>
      </c>
      <c r="BP121" s="20"/>
      <c r="BQ121" s="18"/>
    </row>
    <row r="122" spans="1:69" s="19" customFormat="1" ht="15">
      <c r="A122" s="21">
        <v>2506</v>
      </c>
      <c r="B122" s="2" t="s">
        <v>198</v>
      </c>
      <c r="C122" s="31">
        <v>0</v>
      </c>
      <c r="D122" s="31">
        <v>1.48</v>
      </c>
      <c r="E122" s="40">
        <v>0</v>
      </c>
      <c r="F122" s="23">
        <v>0</v>
      </c>
      <c r="G122" s="15">
        <f t="shared" si="127"/>
        <v>1.48</v>
      </c>
      <c r="H122" s="26">
        <v>0</v>
      </c>
      <c r="I122" s="26">
        <f>3.33+J122</f>
        <v>3.34</v>
      </c>
      <c r="J122" s="26">
        <v>0.01</v>
      </c>
      <c r="K122" s="23">
        <v>0</v>
      </c>
      <c r="L122" s="15">
        <f t="shared" si="118"/>
        <v>3.34</v>
      </c>
      <c r="M122" s="26">
        <v>0</v>
      </c>
      <c r="N122" s="26">
        <v>1.38</v>
      </c>
      <c r="O122" s="26">
        <v>0</v>
      </c>
      <c r="P122" s="23">
        <v>0</v>
      </c>
      <c r="Q122" s="25">
        <f t="shared" si="116"/>
        <v>1.38</v>
      </c>
      <c r="R122" s="26">
        <v>0</v>
      </c>
      <c r="S122" s="26">
        <f>0+T122</f>
        <v>0.05</v>
      </c>
      <c r="T122" s="26">
        <v>0.05</v>
      </c>
      <c r="U122" s="23">
        <v>0</v>
      </c>
      <c r="V122" s="15">
        <f t="shared" si="112"/>
        <v>0.05</v>
      </c>
      <c r="W122" s="26">
        <v>0</v>
      </c>
      <c r="X122" s="26">
        <f>3+Y122</f>
        <v>3.7</v>
      </c>
      <c r="Y122" s="26">
        <v>0.7</v>
      </c>
      <c r="Z122" s="23">
        <v>0</v>
      </c>
      <c r="AA122" s="15">
        <f t="shared" si="113"/>
        <v>3.7</v>
      </c>
      <c r="AB122" s="26">
        <v>0</v>
      </c>
      <c r="AC122" s="1">
        <v>7</v>
      </c>
      <c r="AD122" s="26">
        <v>0</v>
      </c>
      <c r="AE122" s="23">
        <v>0</v>
      </c>
      <c r="AF122" s="15">
        <f t="shared" si="114"/>
        <v>7</v>
      </c>
      <c r="AG122" s="26">
        <v>0</v>
      </c>
      <c r="AH122" s="1">
        <v>2</v>
      </c>
      <c r="AI122" s="26">
        <v>0</v>
      </c>
      <c r="AJ122" s="23">
        <v>0</v>
      </c>
      <c r="AK122" s="15">
        <f t="shared" si="106"/>
        <v>2</v>
      </c>
      <c r="AL122" s="26">
        <f t="shared" si="119"/>
        <v>0</v>
      </c>
      <c r="AM122" s="26">
        <f t="shared" si="119"/>
        <v>2.225</v>
      </c>
      <c r="AN122" s="26">
        <f t="shared" si="128"/>
        <v>0</v>
      </c>
      <c r="AO122" s="23">
        <v>0</v>
      </c>
      <c r="AP122" s="15">
        <f t="shared" si="107"/>
        <v>2.225</v>
      </c>
      <c r="AQ122" s="26">
        <f t="shared" si="120"/>
        <v>0</v>
      </c>
      <c r="AR122" s="26">
        <f t="shared" si="120"/>
        <v>2.4753125000000002</v>
      </c>
      <c r="AS122" s="26">
        <f t="shared" si="121"/>
        <v>0</v>
      </c>
      <c r="AT122" s="23">
        <v>0</v>
      </c>
      <c r="AU122" s="15">
        <f t="shared" si="108"/>
        <v>2.4753125000000002</v>
      </c>
      <c r="AV122" s="26">
        <f t="shared" si="122"/>
        <v>0</v>
      </c>
      <c r="AW122" s="26">
        <f t="shared" si="122"/>
        <v>2.75378515625</v>
      </c>
      <c r="AX122" s="26">
        <f t="shared" si="129"/>
        <v>0</v>
      </c>
      <c r="AY122" s="26"/>
      <c r="AZ122" s="15">
        <f t="shared" si="115"/>
        <v>2.75378515625</v>
      </c>
      <c r="BA122" s="26">
        <f t="shared" si="130"/>
        <v>0</v>
      </c>
      <c r="BB122" s="26">
        <f t="shared" si="130"/>
        <v>3.063585986328125</v>
      </c>
      <c r="BC122" s="26">
        <f t="shared" si="131"/>
        <v>0</v>
      </c>
      <c r="BD122" s="23">
        <v>0</v>
      </c>
      <c r="BE122" s="15">
        <f t="shared" si="109"/>
        <v>3.063585986328125</v>
      </c>
      <c r="BF122" s="26">
        <f t="shared" si="123"/>
        <v>0</v>
      </c>
      <c r="BG122" s="26">
        <f t="shared" si="123"/>
        <v>3.4082394097900393</v>
      </c>
      <c r="BH122" s="26">
        <f t="shared" si="124"/>
        <v>0</v>
      </c>
      <c r="BI122" s="23">
        <v>0</v>
      </c>
      <c r="BJ122" s="15">
        <f t="shared" si="110"/>
        <v>3.4082394097900393</v>
      </c>
      <c r="BK122" s="26">
        <f t="shared" si="125"/>
        <v>0</v>
      </c>
      <c r="BL122" s="26">
        <f t="shared" si="125"/>
        <v>3.7916663433914186</v>
      </c>
      <c r="BM122" s="26">
        <f t="shared" si="132"/>
        <v>0</v>
      </c>
      <c r="BN122" s="26">
        <f t="shared" si="126"/>
        <v>0</v>
      </c>
      <c r="BO122" s="15">
        <f t="shared" si="111"/>
        <v>3.7916663433914186</v>
      </c>
      <c r="BP122" s="20"/>
      <c r="BQ122" s="18">
        <v>0.1125</v>
      </c>
    </row>
    <row r="123" spans="1:69" s="19" customFormat="1" ht="30">
      <c r="A123" s="21">
        <v>2515</v>
      </c>
      <c r="B123" s="2" t="s">
        <v>235</v>
      </c>
      <c r="C123" s="31">
        <v>3.25</v>
      </c>
      <c r="D123" s="31">
        <v>17.3</v>
      </c>
      <c r="E123" s="40">
        <v>0</v>
      </c>
      <c r="F123" s="23">
        <v>0</v>
      </c>
      <c r="G123" s="15">
        <f t="shared" si="127"/>
        <v>20.55</v>
      </c>
      <c r="H123" s="26">
        <v>3.86</v>
      </c>
      <c r="I123" s="26">
        <v>17.84</v>
      </c>
      <c r="J123" s="26">
        <v>0</v>
      </c>
      <c r="K123" s="23">
        <v>0</v>
      </c>
      <c r="L123" s="15">
        <f t="shared" si="118"/>
        <v>21.7</v>
      </c>
      <c r="M123" s="26">
        <f>6.79</f>
        <v>6.79</v>
      </c>
      <c r="N123" s="26">
        <v>16.98</v>
      </c>
      <c r="O123" s="26">
        <v>0</v>
      </c>
      <c r="P123" s="23">
        <v>0</v>
      </c>
      <c r="Q123" s="25">
        <f t="shared" si="116"/>
        <v>23.77</v>
      </c>
      <c r="R123" s="26">
        <v>1.17</v>
      </c>
      <c r="S123" s="26">
        <f>19.21+T123</f>
        <v>19.43</v>
      </c>
      <c r="T123" s="26">
        <v>0.22</v>
      </c>
      <c r="U123" s="23">
        <v>0</v>
      </c>
      <c r="V123" s="15">
        <f t="shared" si="112"/>
        <v>20.6</v>
      </c>
      <c r="W123" s="26">
        <v>1.44</v>
      </c>
      <c r="X123" s="26">
        <v>51.54</v>
      </c>
      <c r="Y123" s="26">
        <v>0</v>
      </c>
      <c r="Z123" s="23">
        <v>0</v>
      </c>
      <c r="AA123" s="15">
        <f t="shared" si="113"/>
        <v>52.98</v>
      </c>
      <c r="AB123" s="1">
        <v>1.78</v>
      </c>
      <c r="AC123" s="1">
        <v>77.43</v>
      </c>
      <c r="AD123" s="26">
        <v>0</v>
      </c>
      <c r="AE123" s="23">
        <v>0</v>
      </c>
      <c r="AF123" s="15">
        <f t="shared" si="114"/>
        <v>79.21000000000001</v>
      </c>
      <c r="AG123" s="1">
        <v>2.15</v>
      </c>
      <c r="AH123" s="1">
        <v>59.35</v>
      </c>
      <c r="AI123" s="26">
        <v>0</v>
      </c>
      <c r="AJ123" s="23">
        <v>0</v>
      </c>
      <c r="AK123" s="15">
        <f t="shared" si="106"/>
        <v>61.5</v>
      </c>
      <c r="AL123" s="26">
        <f t="shared" si="119"/>
        <v>2.3918749999999998</v>
      </c>
      <c r="AM123" s="26">
        <f t="shared" si="119"/>
        <v>66.026875</v>
      </c>
      <c r="AN123" s="26">
        <f t="shared" si="128"/>
        <v>0</v>
      </c>
      <c r="AO123" s="23">
        <v>0</v>
      </c>
      <c r="AP123" s="15">
        <f t="shared" si="107"/>
        <v>68.41875</v>
      </c>
      <c r="AQ123" s="26">
        <f t="shared" si="120"/>
        <v>2.6609609374999996</v>
      </c>
      <c r="AR123" s="26">
        <f t="shared" si="120"/>
        <v>73.4548984375</v>
      </c>
      <c r="AS123" s="26">
        <f t="shared" si="121"/>
        <v>0</v>
      </c>
      <c r="AT123" s="23">
        <v>0</v>
      </c>
      <c r="AU123" s="15">
        <f t="shared" si="108"/>
        <v>76.115859375</v>
      </c>
      <c r="AV123" s="26">
        <f t="shared" si="122"/>
        <v>2.9603190429687496</v>
      </c>
      <c r="AW123" s="26">
        <f t="shared" si="122"/>
        <v>81.71857451171876</v>
      </c>
      <c r="AX123" s="26">
        <f t="shared" si="129"/>
        <v>0</v>
      </c>
      <c r="AY123" s="26"/>
      <c r="AZ123" s="15">
        <f t="shared" si="115"/>
        <v>84.6788935546875</v>
      </c>
      <c r="BA123" s="26">
        <f t="shared" si="130"/>
        <v>3.293354935302734</v>
      </c>
      <c r="BB123" s="26">
        <f t="shared" si="130"/>
        <v>90.91191414428712</v>
      </c>
      <c r="BC123" s="26">
        <f t="shared" si="131"/>
        <v>0</v>
      </c>
      <c r="BD123" s="23">
        <v>0</v>
      </c>
      <c r="BE123" s="15">
        <f t="shared" si="109"/>
        <v>94.20526907958985</v>
      </c>
      <c r="BF123" s="26">
        <f t="shared" si="123"/>
        <v>3.6638573655242914</v>
      </c>
      <c r="BG123" s="26">
        <f t="shared" si="123"/>
        <v>101.13950448551942</v>
      </c>
      <c r="BH123" s="26">
        <f t="shared" si="124"/>
        <v>0</v>
      </c>
      <c r="BI123" s="23">
        <v>0</v>
      </c>
      <c r="BJ123" s="15">
        <f t="shared" si="110"/>
        <v>104.80336185104372</v>
      </c>
      <c r="BK123" s="26">
        <f t="shared" si="125"/>
        <v>4.076041319145774</v>
      </c>
      <c r="BL123" s="26">
        <f t="shared" si="125"/>
        <v>112.51769874014036</v>
      </c>
      <c r="BM123" s="26">
        <f t="shared" si="132"/>
        <v>0</v>
      </c>
      <c r="BN123" s="26">
        <f t="shared" si="126"/>
        <v>0</v>
      </c>
      <c r="BO123" s="15">
        <f t="shared" si="111"/>
        <v>116.59374005928613</v>
      </c>
      <c r="BP123" s="20">
        <v>0.1125</v>
      </c>
      <c r="BQ123" s="18">
        <v>0.1125</v>
      </c>
    </row>
    <row r="124" spans="1:69" s="19" customFormat="1" ht="30">
      <c r="A124" s="21">
        <v>2551</v>
      </c>
      <c r="B124" s="2" t="s">
        <v>88</v>
      </c>
      <c r="C124" s="40">
        <v>0</v>
      </c>
      <c r="D124" s="40">
        <v>0</v>
      </c>
      <c r="E124" s="40">
        <v>0</v>
      </c>
      <c r="F124" s="23">
        <v>0</v>
      </c>
      <c r="G124" s="15">
        <f t="shared" si="127"/>
        <v>0</v>
      </c>
      <c r="H124" s="26">
        <v>0</v>
      </c>
      <c r="I124" s="26">
        <v>0</v>
      </c>
      <c r="J124" s="26">
        <v>0</v>
      </c>
      <c r="K124" s="23">
        <v>0</v>
      </c>
      <c r="L124" s="15">
        <f t="shared" si="118"/>
        <v>0</v>
      </c>
      <c r="M124" s="26">
        <v>0</v>
      </c>
      <c r="N124" s="26">
        <v>0</v>
      </c>
      <c r="O124" s="26">
        <v>0</v>
      </c>
      <c r="P124" s="23">
        <v>0</v>
      </c>
      <c r="Q124" s="25">
        <f t="shared" si="116"/>
        <v>0</v>
      </c>
      <c r="R124" s="26">
        <v>0</v>
      </c>
      <c r="S124" s="26">
        <v>0</v>
      </c>
      <c r="T124" s="26">
        <v>0</v>
      </c>
      <c r="U124" s="23">
        <v>0</v>
      </c>
      <c r="V124" s="15">
        <f t="shared" si="112"/>
        <v>0</v>
      </c>
      <c r="W124" s="26">
        <v>0</v>
      </c>
      <c r="X124" s="26">
        <v>0</v>
      </c>
      <c r="Y124" s="26">
        <v>0</v>
      </c>
      <c r="Z124" s="23">
        <v>0</v>
      </c>
      <c r="AA124" s="15">
        <f t="shared" si="113"/>
        <v>0</v>
      </c>
      <c r="AB124" s="26">
        <v>0</v>
      </c>
      <c r="AC124" s="26">
        <v>0</v>
      </c>
      <c r="AD124" s="26">
        <v>0</v>
      </c>
      <c r="AE124" s="23">
        <v>0</v>
      </c>
      <c r="AF124" s="15">
        <f t="shared" si="114"/>
        <v>0</v>
      </c>
      <c r="AG124" s="26">
        <v>0</v>
      </c>
      <c r="AH124" s="26">
        <v>0</v>
      </c>
      <c r="AI124" s="26">
        <v>0</v>
      </c>
      <c r="AJ124" s="23">
        <v>0</v>
      </c>
      <c r="AK124" s="15">
        <f t="shared" si="106"/>
        <v>0</v>
      </c>
      <c r="AL124" s="26">
        <f t="shared" si="119"/>
        <v>0</v>
      </c>
      <c r="AM124" s="26">
        <f t="shared" si="119"/>
        <v>0</v>
      </c>
      <c r="AN124" s="26">
        <f t="shared" si="128"/>
        <v>0</v>
      </c>
      <c r="AO124" s="23">
        <v>0</v>
      </c>
      <c r="AP124" s="15">
        <f t="shared" si="107"/>
        <v>0</v>
      </c>
      <c r="AQ124" s="26">
        <f t="shared" si="120"/>
        <v>0</v>
      </c>
      <c r="AR124" s="26">
        <f t="shared" si="120"/>
        <v>0</v>
      </c>
      <c r="AS124" s="26">
        <f t="shared" si="121"/>
        <v>0</v>
      </c>
      <c r="AT124" s="23">
        <v>0</v>
      </c>
      <c r="AU124" s="15">
        <f t="shared" si="108"/>
        <v>0</v>
      </c>
      <c r="AV124" s="26">
        <f t="shared" si="122"/>
        <v>0</v>
      </c>
      <c r="AW124" s="26">
        <f t="shared" si="122"/>
        <v>0</v>
      </c>
      <c r="AX124" s="26">
        <f t="shared" si="129"/>
        <v>0</v>
      </c>
      <c r="AY124" s="26"/>
      <c r="AZ124" s="15">
        <f t="shared" si="115"/>
        <v>0</v>
      </c>
      <c r="BA124" s="26">
        <f t="shared" si="130"/>
        <v>0</v>
      </c>
      <c r="BB124" s="26">
        <f t="shared" si="130"/>
        <v>0</v>
      </c>
      <c r="BC124" s="26">
        <f t="shared" si="131"/>
        <v>0</v>
      </c>
      <c r="BD124" s="23">
        <v>0</v>
      </c>
      <c r="BE124" s="15">
        <f t="shared" si="109"/>
        <v>0</v>
      </c>
      <c r="BF124" s="26">
        <f t="shared" si="123"/>
        <v>0</v>
      </c>
      <c r="BG124" s="26">
        <f t="shared" si="123"/>
        <v>0</v>
      </c>
      <c r="BH124" s="26">
        <f t="shared" si="124"/>
        <v>0</v>
      </c>
      <c r="BI124" s="23">
        <v>0</v>
      </c>
      <c r="BJ124" s="15">
        <f t="shared" si="110"/>
        <v>0</v>
      </c>
      <c r="BK124" s="26">
        <f t="shared" si="125"/>
        <v>0</v>
      </c>
      <c r="BL124" s="26">
        <f t="shared" si="125"/>
        <v>0</v>
      </c>
      <c r="BM124" s="26">
        <f t="shared" si="132"/>
        <v>0</v>
      </c>
      <c r="BN124" s="26">
        <f t="shared" si="126"/>
        <v>0</v>
      </c>
      <c r="BO124" s="15">
        <f t="shared" si="111"/>
        <v>0</v>
      </c>
      <c r="BP124" s="20"/>
      <c r="BQ124" s="18"/>
    </row>
    <row r="125" spans="1:69" s="19" customFormat="1" ht="15">
      <c r="A125" s="21">
        <v>2552</v>
      </c>
      <c r="B125" s="2" t="s">
        <v>89</v>
      </c>
      <c r="C125" s="40">
        <v>0</v>
      </c>
      <c r="D125" s="40">
        <v>0</v>
      </c>
      <c r="E125" s="40">
        <v>0</v>
      </c>
      <c r="F125" s="23">
        <v>0</v>
      </c>
      <c r="G125" s="15">
        <f t="shared" si="127"/>
        <v>0</v>
      </c>
      <c r="H125" s="26">
        <v>0</v>
      </c>
      <c r="I125" s="26">
        <v>0</v>
      </c>
      <c r="J125" s="26">
        <v>0</v>
      </c>
      <c r="K125" s="23">
        <v>0</v>
      </c>
      <c r="L125" s="15">
        <f t="shared" si="118"/>
        <v>0</v>
      </c>
      <c r="M125" s="26">
        <v>0</v>
      </c>
      <c r="N125" s="26">
        <v>0</v>
      </c>
      <c r="O125" s="26">
        <v>0</v>
      </c>
      <c r="P125" s="23">
        <v>0</v>
      </c>
      <c r="Q125" s="25">
        <f t="shared" si="116"/>
        <v>0</v>
      </c>
      <c r="R125" s="26">
        <v>0</v>
      </c>
      <c r="S125" s="26">
        <v>0</v>
      </c>
      <c r="T125" s="26">
        <v>0</v>
      </c>
      <c r="U125" s="23">
        <v>0</v>
      </c>
      <c r="V125" s="15">
        <f t="shared" si="112"/>
        <v>0</v>
      </c>
      <c r="W125" s="26">
        <v>0</v>
      </c>
      <c r="X125" s="26">
        <v>0</v>
      </c>
      <c r="Y125" s="26">
        <v>0</v>
      </c>
      <c r="Z125" s="23">
        <v>0</v>
      </c>
      <c r="AA125" s="15">
        <f t="shared" si="113"/>
        <v>0</v>
      </c>
      <c r="AB125" s="26">
        <v>0</v>
      </c>
      <c r="AC125" s="26">
        <v>0</v>
      </c>
      <c r="AD125" s="26">
        <v>0</v>
      </c>
      <c r="AE125" s="23">
        <v>0</v>
      </c>
      <c r="AF125" s="15">
        <f t="shared" si="114"/>
        <v>0</v>
      </c>
      <c r="AG125" s="26">
        <v>0</v>
      </c>
      <c r="AH125" s="26">
        <v>0</v>
      </c>
      <c r="AI125" s="26">
        <v>0</v>
      </c>
      <c r="AJ125" s="23">
        <v>0</v>
      </c>
      <c r="AK125" s="15">
        <f t="shared" si="106"/>
        <v>0</v>
      </c>
      <c r="AL125" s="26">
        <f t="shared" si="119"/>
        <v>0</v>
      </c>
      <c r="AM125" s="26">
        <f t="shared" si="119"/>
        <v>0</v>
      </c>
      <c r="AN125" s="26">
        <f t="shared" si="128"/>
        <v>0</v>
      </c>
      <c r="AO125" s="23">
        <v>0</v>
      </c>
      <c r="AP125" s="15">
        <f t="shared" si="107"/>
        <v>0</v>
      </c>
      <c r="AQ125" s="26">
        <f t="shared" si="120"/>
        <v>0</v>
      </c>
      <c r="AR125" s="26">
        <f t="shared" si="120"/>
        <v>0</v>
      </c>
      <c r="AS125" s="26">
        <f t="shared" si="121"/>
        <v>0</v>
      </c>
      <c r="AT125" s="23">
        <v>0</v>
      </c>
      <c r="AU125" s="15">
        <f t="shared" si="108"/>
        <v>0</v>
      </c>
      <c r="AV125" s="26">
        <f t="shared" si="122"/>
        <v>0</v>
      </c>
      <c r="AW125" s="26">
        <f t="shared" si="122"/>
        <v>0</v>
      </c>
      <c r="AX125" s="26">
        <f t="shared" si="129"/>
        <v>0</v>
      </c>
      <c r="AY125" s="26"/>
      <c r="AZ125" s="15">
        <f t="shared" si="115"/>
        <v>0</v>
      </c>
      <c r="BA125" s="26">
        <f t="shared" si="130"/>
        <v>0</v>
      </c>
      <c r="BB125" s="26">
        <f t="shared" si="130"/>
        <v>0</v>
      </c>
      <c r="BC125" s="26">
        <f t="shared" si="131"/>
        <v>0</v>
      </c>
      <c r="BD125" s="23">
        <v>0</v>
      </c>
      <c r="BE125" s="15">
        <f t="shared" si="109"/>
        <v>0</v>
      </c>
      <c r="BF125" s="26">
        <f t="shared" si="123"/>
        <v>0</v>
      </c>
      <c r="BG125" s="26">
        <f t="shared" si="123"/>
        <v>0</v>
      </c>
      <c r="BH125" s="26">
        <f t="shared" si="124"/>
        <v>0</v>
      </c>
      <c r="BI125" s="23">
        <v>0</v>
      </c>
      <c r="BJ125" s="15">
        <f t="shared" si="110"/>
        <v>0</v>
      </c>
      <c r="BK125" s="26">
        <f t="shared" si="125"/>
        <v>0</v>
      </c>
      <c r="BL125" s="26">
        <f t="shared" si="125"/>
        <v>0</v>
      </c>
      <c r="BM125" s="26">
        <f t="shared" si="132"/>
        <v>0</v>
      </c>
      <c r="BN125" s="26">
        <f t="shared" si="126"/>
        <v>0</v>
      </c>
      <c r="BO125" s="15">
        <f t="shared" si="111"/>
        <v>0</v>
      </c>
      <c r="BP125" s="20"/>
      <c r="BQ125" s="18"/>
    </row>
    <row r="126" spans="1:69" s="19" customFormat="1" ht="30">
      <c r="A126" s="21">
        <v>2575</v>
      </c>
      <c r="B126" s="2" t="s">
        <v>90</v>
      </c>
      <c r="C126" s="40">
        <v>0</v>
      </c>
      <c r="D126" s="31">
        <v>1.42</v>
      </c>
      <c r="E126" s="40">
        <v>0</v>
      </c>
      <c r="F126" s="23">
        <v>0</v>
      </c>
      <c r="G126" s="15">
        <f t="shared" si="127"/>
        <v>1.42</v>
      </c>
      <c r="H126" s="26">
        <v>0</v>
      </c>
      <c r="I126" s="26">
        <v>0.29</v>
      </c>
      <c r="J126" s="26">
        <v>0</v>
      </c>
      <c r="K126" s="23">
        <v>0</v>
      </c>
      <c r="L126" s="15">
        <f t="shared" si="118"/>
        <v>0.29</v>
      </c>
      <c r="M126" s="26">
        <f>0</f>
        <v>0</v>
      </c>
      <c r="N126" s="26">
        <v>0.45</v>
      </c>
      <c r="O126" s="26">
        <v>0</v>
      </c>
      <c r="P126" s="23">
        <v>0</v>
      </c>
      <c r="Q126" s="25">
        <f t="shared" si="116"/>
        <v>0.45</v>
      </c>
      <c r="R126" s="26">
        <v>0</v>
      </c>
      <c r="S126" s="26">
        <v>0.47</v>
      </c>
      <c r="T126" s="26">
        <v>0</v>
      </c>
      <c r="U126" s="23">
        <v>0</v>
      </c>
      <c r="V126" s="15">
        <f t="shared" si="112"/>
        <v>0.47</v>
      </c>
      <c r="W126" s="26">
        <v>0</v>
      </c>
      <c r="X126" s="26">
        <v>0.48</v>
      </c>
      <c r="Y126" s="26">
        <v>0</v>
      </c>
      <c r="Z126" s="23">
        <v>0</v>
      </c>
      <c r="AA126" s="15">
        <f t="shared" si="113"/>
        <v>0.48</v>
      </c>
      <c r="AB126" s="26">
        <v>0</v>
      </c>
      <c r="AC126" s="1">
        <v>1.09</v>
      </c>
      <c r="AD126" s="26">
        <v>0</v>
      </c>
      <c r="AE126" s="23">
        <v>0</v>
      </c>
      <c r="AF126" s="15">
        <f t="shared" si="114"/>
        <v>1.09</v>
      </c>
      <c r="AG126" s="26">
        <v>0</v>
      </c>
      <c r="AH126" s="1">
        <v>1</v>
      </c>
      <c r="AI126" s="26">
        <v>0</v>
      </c>
      <c r="AJ126" s="23">
        <v>0</v>
      </c>
      <c r="AK126" s="15">
        <f t="shared" si="106"/>
        <v>1</v>
      </c>
      <c r="AL126" s="26">
        <f t="shared" si="119"/>
        <v>0</v>
      </c>
      <c r="AM126" s="26">
        <f t="shared" si="119"/>
        <v>1</v>
      </c>
      <c r="AN126" s="26">
        <f t="shared" si="128"/>
        <v>0</v>
      </c>
      <c r="AO126" s="23">
        <v>0</v>
      </c>
      <c r="AP126" s="15">
        <f t="shared" si="107"/>
        <v>1</v>
      </c>
      <c r="AQ126" s="26">
        <f t="shared" si="120"/>
        <v>0</v>
      </c>
      <c r="AR126" s="26">
        <f t="shared" si="120"/>
        <v>1</v>
      </c>
      <c r="AS126" s="26">
        <f t="shared" si="121"/>
        <v>0</v>
      </c>
      <c r="AT126" s="23">
        <v>0</v>
      </c>
      <c r="AU126" s="15">
        <f t="shared" si="108"/>
        <v>1</v>
      </c>
      <c r="AV126" s="26">
        <f t="shared" si="122"/>
        <v>0</v>
      </c>
      <c r="AW126" s="26">
        <f t="shared" si="122"/>
        <v>1</v>
      </c>
      <c r="AX126" s="26">
        <f t="shared" si="129"/>
        <v>0</v>
      </c>
      <c r="AY126" s="26"/>
      <c r="AZ126" s="15">
        <f t="shared" si="115"/>
        <v>1</v>
      </c>
      <c r="BA126" s="26">
        <f t="shared" si="130"/>
        <v>0</v>
      </c>
      <c r="BB126" s="26">
        <f t="shared" si="130"/>
        <v>1</v>
      </c>
      <c r="BC126" s="26">
        <f t="shared" si="131"/>
        <v>0</v>
      </c>
      <c r="BD126" s="23">
        <v>0</v>
      </c>
      <c r="BE126" s="15">
        <f t="shared" si="109"/>
        <v>1</v>
      </c>
      <c r="BF126" s="26">
        <f t="shared" si="123"/>
        <v>0</v>
      </c>
      <c r="BG126" s="26">
        <f t="shared" si="123"/>
        <v>1</v>
      </c>
      <c r="BH126" s="26">
        <f t="shared" si="124"/>
        <v>0</v>
      </c>
      <c r="BI126" s="23">
        <v>0</v>
      </c>
      <c r="BJ126" s="15">
        <f t="shared" si="110"/>
        <v>1</v>
      </c>
      <c r="BK126" s="26">
        <f t="shared" si="125"/>
        <v>0</v>
      </c>
      <c r="BL126" s="26">
        <f t="shared" si="125"/>
        <v>1</v>
      </c>
      <c r="BM126" s="26">
        <f t="shared" si="132"/>
        <v>0</v>
      </c>
      <c r="BN126" s="26">
        <f t="shared" si="126"/>
        <v>0</v>
      </c>
      <c r="BO126" s="15">
        <f t="shared" si="111"/>
        <v>1</v>
      </c>
      <c r="BP126" s="20"/>
      <c r="BQ126" s="18"/>
    </row>
    <row r="127" spans="1:69" s="19" customFormat="1" ht="15">
      <c r="A127" s="21">
        <v>2700</v>
      </c>
      <c r="B127" s="2" t="s">
        <v>91</v>
      </c>
      <c r="C127" s="40">
        <v>0</v>
      </c>
      <c r="D127" s="40">
        <v>0</v>
      </c>
      <c r="E127" s="40">
        <v>0</v>
      </c>
      <c r="F127" s="23">
        <v>0</v>
      </c>
      <c r="G127" s="15">
        <f t="shared" si="127"/>
        <v>0</v>
      </c>
      <c r="H127" s="26">
        <v>0</v>
      </c>
      <c r="I127" s="26">
        <v>0</v>
      </c>
      <c r="J127" s="26">
        <v>0</v>
      </c>
      <c r="K127" s="23">
        <v>0</v>
      </c>
      <c r="L127" s="15">
        <f t="shared" si="118"/>
        <v>0</v>
      </c>
      <c r="M127" s="26">
        <v>0</v>
      </c>
      <c r="N127" s="26">
        <v>0</v>
      </c>
      <c r="O127" s="26">
        <v>0</v>
      </c>
      <c r="P127" s="23">
        <v>0</v>
      </c>
      <c r="Q127" s="25">
        <f t="shared" si="116"/>
        <v>0</v>
      </c>
      <c r="R127" s="26">
        <v>0</v>
      </c>
      <c r="S127" s="26">
        <v>0</v>
      </c>
      <c r="T127" s="26">
        <v>0</v>
      </c>
      <c r="U127" s="23">
        <v>0</v>
      </c>
      <c r="V127" s="15">
        <f t="shared" si="112"/>
        <v>0</v>
      </c>
      <c r="W127" s="26">
        <v>0</v>
      </c>
      <c r="X127" s="26">
        <v>0</v>
      </c>
      <c r="Y127" s="26">
        <v>0</v>
      </c>
      <c r="Z127" s="23">
        <v>0</v>
      </c>
      <c r="AA127" s="15">
        <f t="shared" si="113"/>
        <v>0</v>
      </c>
      <c r="AB127" s="26">
        <v>0</v>
      </c>
      <c r="AC127" s="26">
        <v>0</v>
      </c>
      <c r="AD127" s="26">
        <v>0</v>
      </c>
      <c r="AE127" s="23">
        <v>0</v>
      </c>
      <c r="AF127" s="15">
        <f t="shared" si="114"/>
        <v>0</v>
      </c>
      <c r="AG127" s="26">
        <v>0</v>
      </c>
      <c r="AH127" s="26">
        <v>0</v>
      </c>
      <c r="AI127" s="26">
        <v>0</v>
      </c>
      <c r="AJ127" s="23">
        <v>0</v>
      </c>
      <c r="AK127" s="15">
        <f t="shared" si="106"/>
        <v>0</v>
      </c>
      <c r="AL127" s="26">
        <f t="shared" si="119"/>
        <v>0</v>
      </c>
      <c r="AM127" s="26">
        <f t="shared" si="119"/>
        <v>0</v>
      </c>
      <c r="AN127" s="26">
        <f t="shared" si="128"/>
        <v>0</v>
      </c>
      <c r="AO127" s="23">
        <v>0</v>
      </c>
      <c r="AP127" s="15">
        <f t="shared" si="107"/>
        <v>0</v>
      </c>
      <c r="AQ127" s="26">
        <f t="shared" si="120"/>
        <v>0</v>
      </c>
      <c r="AR127" s="26">
        <f t="shared" si="120"/>
        <v>0</v>
      </c>
      <c r="AS127" s="26">
        <f t="shared" si="121"/>
        <v>0</v>
      </c>
      <c r="AT127" s="23">
        <v>0</v>
      </c>
      <c r="AU127" s="15">
        <f t="shared" si="108"/>
        <v>0</v>
      </c>
      <c r="AV127" s="26">
        <f t="shared" si="122"/>
        <v>0</v>
      </c>
      <c r="AW127" s="26">
        <f t="shared" si="122"/>
        <v>0</v>
      </c>
      <c r="AX127" s="26">
        <f t="shared" si="129"/>
        <v>0</v>
      </c>
      <c r="AY127" s="26"/>
      <c r="AZ127" s="15">
        <f t="shared" si="115"/>
        <v>0</v>
      </c>
      <c r="BA127" s="26">
        <f t="shared" si="130"/>
        <v>0</v>
      </c>
      <c r="BB127" s="26">
        <f t="shared" si="130"/>
        <v>0</v>
      </c>
      <c r="BC127" s="26">
        <f t="shared" si="131"/>
        <v>0</v>
      </c>
      <c r="BD127" s="23">
        <v>0</v>
      </c>
      <c r="BE127" s="15">
        <f t="shared" si="109"/>
        <v>0</v>
      </c>
      <c r="BF127" s="26">
        <f t="shared" si="123"/>
        <v>0</v>
      </c>
      <c r="BG127" s="26">
        <f t="shared" si="123"/>
        <v>0</v>
      </c>
      <c r="BH127" s="26">
        <f t="shared" si="124"/>
        <v>0</v>
      </c>
      <c r="BI127" s="23">
        <v>0</v>
      </c>
      <c r="BJ127" s="15">
        <f t="shared" si="110"/>
        <v>0</v>
      </c>
      <c r="BK127" s="26">
        <f t="shared" si="125"/>
        <v>0</v>
      </c>
      <c r="BL127" s="26">
        <f t="shared" si="125"/>
        <v>0</v>
      </c>
      <c r="BM127" s="26">
        <f t="shared" si="132"/>
        <v>0</v>
      </c>
      <c r="BN127" s="26">
        <f t="shared" si="126"/>
        <v>0</v>
      </c>
      <c r="BO127" s="15">
        <f t="shared" si="111"/>
        <v>0</v>
      </c>
      <c r="BP127" s="20"/>
      <c r="BQ127" s="18"/>
    </row>
    <row r="128" spans="1:69" s="19" customFormat="1" ht="15">
      <c r="A128" s="21"/>
      <c r="B128" s="2" t="s">
        <v>92</v>
      </c>
      <c r="C128" s="40">
        <v>0</v>
      </c>
      <c r="D128" s="40">
        <v>0</v>
      </c>
      <c r="E128" s="40">
        <v>0</v>
      </c>
      <c r="F128" s="23">
        <v>0</v>
      </c>
      <c r="G128" s="15">
        <f t="shared" si="127"/>
        <v>0</v>
      </c>
      <c r="H128" s="26">
        <v>0</v>
      </c>
      <c r="I128" s="26">
        <v>0</v>
      </c>
      <c r="J128" s="26">
        <v>0</v>
      </c>
      <c r="K128" s="23">
        <v>0</v>
      </c>
      <c r="L128" s="15">
        <f t="shared" si="118"/>
        <v>0</v>
      </c>
      <c r="M128" s="26">
        <v>0</v>
      </c>
      <c r="N128" s="26">
        <v>0</v>
      </c>
      <c r="O128" s="26">
        <v>0</v>
      </c>
      <c r="P128" s="23">
        <v>0</v>
      </c>
      <c r="Q128" s="25">
        <f t="shared" si="116"/>
        <v>0</v>
      </c>
      <c r="R128" s="26">
        <v>0</v>
      </c>
      <c r="S128" s="26">
        <v>0</v>
      </c>
      <c r="T128" s="26">
        <v>0</v>
      </c>
      <c r="U128" s="23">
        <v>0</v>
      </c>
      <c r="V128" s="15">
        <f t="shared" si="112"/>
        <v>0</v>
      </c>
      <c r="W128" s="26">
        <v>0</v>
      </c>
      <c r="X128" s="26">
        <v>0</v>
      </c>
      <c r="Y128" s="26">
        <v>0</v>
      </c>
      <c r="Z128" s="23">
        <v>0</v>
      </c>
      <c r="AA128" s="15">
        <f t="shared" si="113"/>
        <v>0</v>
      </c>
      <c r="AB128" s="26">
        <v>0</v>
      </c>
      <c r="AC128" s="26">
        <v>0</v>
      </c>
      <c r="AD128" s="26">
        <v>0</v>
      </c>
      <c r="AE128" s="23">
        <v>0</v>
      </c>
      <c r="AF128" s="15">
        <f t="shared" si="114"/>
        <v>0</v>
      </c>
      <c r="AG128" s="26">
        <v>0</v>
      </c>
      <c r="AH128" s="26">
        <v>0</v>
      </c>
      <c r="AI128" s="26">
        <v>0</v>
      </c>
      <c r="AJ128" s="23">
        <v>0</v>
      </c>
      <c r="AK128" s="15">
        <f t="shared" si="106"/>
        <v>0</v>
      </c>
      <c r="AL128" s="26">
        <f t="shared" si="119"/>
        <v>0</v>
      </c>
      <c r="AM128" s="26">
        <f t="shared" si="119"/>
        <v>0</v>
      </c>
      <c r="AN128" s="26">
        <f t="shared" si="128"/>
        <v>0</v>
      </c>
      <c r="AO128" s="23">
        <v>0</v>
      </c>
      <c r="AP128" s="15">
        <f t="shared" si="107"/>
        <v>0</v>
      </c>
      <c r="AQ128" s="26">
        <f t="shared" si="120"/>
        <v>0</v>
      </c>
      <c r="AR128" s="26">
        <f t="shared" si="120"/>
        <v>0</v>
      </c>
      <c r="AS128" s="26">
        <f t="shared" si="121"/>
        <v>0</v>
      </c>
      <c r="AT128" s="23">
        <v>0</v>
      </c>
      <c r="AU128" s="15">
        <f t="shared" si="108"/>
        <v>0</v>
      </c>
      <c r="AV128" s="26">
        <f t="shared" si="122"/>
        <v>0</v>
      </c>
      <c r="AW128" s="26">
        <f t="shared" si="122"/>
        <v>0</v>
      </c>
      <c r="AX128" s="26">
        <f t="shared" si="129"/>
        <v>0</v>
      </c>
      <c r="AY128" s="26"/>
      <c r="AZ128" s="15">
        <f t="shared" si="115"/>
        <v>0</v>
      </c>
      <c r="BA128" s="26">
        <f t="shared" si="130"/>
        <v>0</v>
      </c>
      <c r="BB128" s="26">
        <f t="shared" si="130"/>
        <v>0</v>
      </c>
      <c r="BC128" s="26">
        <f t="shared" si="131"/>
        <v>0</v>
      </c>
      <c r="BD128" s="23">
        <v>0</v>
      </c>
      <c r="BE128" s="15">
        <f t="shared" si="109"/>
        <v>0</v>
      </c>
      <c r="BF128" s="26">
        <f t="shared" si="123"/>
        <v>0</v>
      </c>
      <c r="BG128" s="26">
        <f t="shared" si="123"/>
        <v>0</v>
      </c>
      <c r="BH128" s="26">
        <f t="shared" si="124"/>
        <v>0</v>
      </c>
      <c r="BI128" s="23">
        <v>0</v>
      </c>
      <c r="BJ128" s="15">
        <f t="shared" si="110"/>
        <v>0</v>
      </c>
      <c r="BK128" s="26">
        <f t="shared" si="125"/>
        <v>0</v>
      </c>
      <c r="BL128" s="26">
        <f t="shared" si="125"/>
        <v>0</v>
      </c>
      <c r="BM128" s="26">
        <f t="shared" si="132"/>
        <v>0</v>
      </c>
      <c r="BN128" s="26">
        <f t="shared" si="126"/>
        <v>0</v>
      </c>
      <c r="BO128" s="15">
        <f t="shared" si="111"/>
        <v>0</v>
      </c>
      <c r="BP128" s="20"/>
      <c r="BQ128" s="18"/>
    </row>
    <row r="129" spans="1:69" s="19" customFormat="1" ht="15">
      <c r="A129" s="21"/>
      <c r="B129" s="2" t="s">
        <v>93</v>
      </c>
      <c r="C129" s="40">
        <v>0</v>
      </c>
      <c r="D129" s="40">
        <v>0</v>
      </c>
      <c r="E129" s="40">
        <v>0</v>
      </c>
      <c r="F129" s="23">
        <v>0</v>
      </c>
      <c r="G129" s="15">
        <f t="shared" si="127"/>
        <v>0</v>
      </c>
      <c r="H129" s="26">
        <v>0</v>
      </c>
      <c r="I129" s="26">
        <v>0</v>
      </c>
      <c r="J129" s="26">
        <v>0</v>
      </c>
      <c r="K129" s="23">
        <v>0</v>
      </c>
      <c r="L129" s="15">
        <f t="shared" si="118"/>
        <v>0</v>
      </c>
      <c r="M129" s="26">
        <v>0</v>
      </c>
      <c r="N129" s="26">
        <v>0</v>
      </c>
      <c r="O129" s="26">
        <v>0</v>
      </c>
      <c r="P129" s="23">
        <v>0</v>
      </c>
      <c r="Q129" s="25">
        <f t="shared" si="116"/>
        <v>0</v>
      </c>
      <c r="R129" s="26">
        <v>0</v>
      </c>
      <c r="S129" s="26">
        <v>0</v>
      </c>
      <c r="T129" s="26">
        <v>0</v>
      </c>
      <c r="U129" s="23">
        <v>0</v>
      </c>
      <c r="V129" s="15">
        <f t="shared" si="112"/>
        <v>0</v>
      </c>
      <c r="W129" s="26">
        <v>0</v>
      </c>
      <c r="X129" s="26">
        <v>0</v>
      </c>
      <c r="Y129" s="26">
        <v>0</v>
      </c>
      <c r="Z129" s="23">
        <v>0</v>
      </c>
      <c r="AA129" s="15">
        <f t="shared" si="113"/>
        <v>0</v>
      </c>
      <c r="AB129" s="26">
        <v>0</v>
      </c>
      <c r="AC129" s="26">
        <v>0</v>
      </c>
      <c r="AD129" s="26">
        <v>0</v>
      </c>
      <c r="AE129" s="23">
        <v>0</v>
      </c>
      <c r="AF129" s="15">
        <f t="shared" si="114"/>
        <v>0</v>
      </c>
      <c r="AG129" s="26">
        <v>0</v>
      </c>
      <c r="AH129" s="26">
        <v>0</v>
      </c>
      <c r="AI129" s="26">
        <v>0</v>
      </c>
      <c r="AJ129" s="23">
        <v>0</v>
      </c>
      <c r="AK129" s="15">
        <f t="shared" si="106"/>
        <v>0</v>
      </c>
      <c r="AL129" s="26">
        <f t="shared" si="119"/>
        <v>0</v>
      </c>
      <c r="AM129" s="26">
        <f t="shared" si="119"/>
        <v>0</v>
      </c>
      <c r="AN129" s="26">
        <f t="shared" si="128"/>
        <v>0</v>
      </c>
      <c r="AO129" s="23">
        <v>0</v>
      </c>
      <c r="AP129" s="15">
        <f t="shared" si="107"/>
        <v>0</v>
      </c>
      <c r="AQ129" s="26">
        <f t="shared" si="120"/>
        <v>0</v>
      </c>
      <c r="AR129" s="26">
        <f t="shared" si="120"/>
        <v>0</v>
      </c>
      <c r="AS129" s="26">
        <f t="shared" si="121"/>
        <v>0</v>
      </c>
      <c r="AT129" s="23">
        <v>0</v>
      </c>
      <c r="AU129" s="15">
        <f t="shared" si="108"/>
        <v>0</v>
      </c>
      <c r="AV129" s="26">
        <f t="shared" si="122"/>
        <v>0</v>
      </c>
      <c r="AW129" s="26">
        <f t="shared" si="122"/>
        <v>0</v>
      </c>
      <c r="AX129" s="26">
        <f t="shared" si="129"/>
        <v>0</v>
      </c>
      <c r="AY129" s="26"/>
      <c r="AZ129" s="15">
        <f t="shared" si="115"/>
        <v>0</v>
      </c>
      <c r="BA129" s="26">
        <f t="shared" si="130"/>
        <v>0</v>
      </c>
      <c r="BB129" s="26">
        <f t="shared" si="130"/>
        <v>0</v>
      </c>
      <c r="BC129" s="26">
        <f t="shared" si="131"/>
        <v>0</v>
      </c>
      <c r="BD129" s="23">
        <v>0</v>
      </c>
      <c r="BE129" s="15">
        <f t="shared" si="109"/>
        <v>0</v>
      </c>
      <c r="BF129" s="26">
        <f t="shared" si="123"/>
        <v>0</v>
      </c>
      <c r="BG129" s="26">
        <f t="shared" si="123"/>
        <v>0</v>
      </c>
      <c r="BH129" s="26">
        <f t="shared" si="124"/>
        <v>0</v>
      </c>
      <c r="BI129" s="23">
        <v>0</v>
      </c>
      <c r="BJ129" s="15">
        <f t="shared" si="110"/>
        <v>0</v>
      </c>
      <c r="BK129" s="26">
        <f t="shared" si="125"/>
        <v>0</v>
      </c>
      <c r="BL129" s="26">
        <f t="shared" si="125"/>
        <v>0</v>
      </c>
      <c r="BM129" s="26">
        <f t="shared" si="132"/>
        <v>0</v>
      </c>
      <c r="BN129" s="26">
        <f t="shared" si="126"/>
        <v>0</v>
      </c>
      <c r="BO129" s="15">
        <f t="shared" si="111"/>
        <v>0</v>
      </c>
      <c r="BP129" s="20"/>
      <c r="BQ129" s="18"/>
    </row>
    <row r="130" spans="1:69" s="19" customFormat="1" ht="15">
      <c r="A130" s="21">
        <v>2701</v>
      </c>
      <c r="B130" s="2" t="s">
        <v>94</v>
      </c>
      <c r="C130" s="40">
        <v>0</v>
      </c>
      <c r="D130" s="40">
        <v>0</v>
      </c>
      <c r="E130" s="40">
        <v>0</v>
      </c>
      <c r="F130" s="23">
        <v>0</v>
      </c>
      <c r="G130" s="15">
        <f t="shared" si="127"/>
        <v>0</v>
      </c>
      <c r="H130" s="26">
        <v>0</v>
      </c>
      <c r="I130" s="26">
        <v>0</v>
      </c>
      <c r="J130" s="26">
        <v>0</v>
      </c>
      <c r="K130" s="23">
        <v>0</v>
      </c>
      <c r="L130" s="15">
        <f t="shared" si="118"/>
        <v>0</v>
      </c>
      <c r="M130" s="26">
        <v>0</v>
      </c>
      <c r="N130" s="26">
        <v>0</v>
      </c>
      <c r="O130" s="26">
        <v>0</v>
      </c>
      <c r="P130" s="23">
        <v>0</v>
      </c>
      <c r="Q130" s="25">
        <f t="shared" si="116"/>
        <v>0</v>
      </c>
      <c r="R130" s="26">
        <v>0</v>
      </c>
      <c r="S130" s="26">
        <v>0</v>
      </c>
      <c r="T130" s="26">
        <v>0</v>
      </c>
      <c r="U130" s="23">
        <v>0</v>
      </c>
      <c r="V130" s="15">
        <f t="shared" si="112"/>
        <v>0</v>
      </c>
      <c r="W130" s="26">
        <v>0</v>
      </c>
      <c r="X130" s="26">
        <v>0</v>
      </c>
      <c r="Y130" s="26">
        <v>0</v>
      </c>
      <c r="Z130" s="23">
        <v>0</v>
      </c>
      <c r="AA130" s="15">
        <f t="shared" si="113"/>
        <v>0</v>
      </c>
      <c r="AB130" s="26">
        <v>0</v>
      </c>
      <c r="AC130" s="26">
        <v>0</v>
      </c>
      <c r="AD130" s="26">
        <v>0</v>
      </c>
      <c r="AE130" s="23">
        <v>0</v>
      </c>
      <c r="AF130" s="15">
        <f t="shared" si="114"/>
        <v>0</v>
      </c>
      <c r="AG130" s="26">
        <v>0</v>
      </c>
      <c r="AH130" s="26">
        <v>0</v>
      </c>
      <c r="AI130" s="26">
        <v>0</v>
      </c>
      <c r="AJ130" s="23">
        <v>0</v>
      </c>
      <c r="AK130" s="15">
        <f t="shared" si="106"/>
        <v>0</v>
      </c>
      <c r="AL130" s="26">
        <f t="shared" si="119"/>
        <v>0</v>
      </c>
      <c r="AM130" s="26">
        <f t="shared" si="119"/>
        <v>0</v>
      </c>
      <c r="AN130" s="26">
        <f t="shared" si="128"/>
        <v>0</v>
      </c>
      <c r="AO130" s="23">
        <v>0</v>
      </c>
      <c r="AP130" s="15">
        <f t="shared" si="107"/>
        <v>0</v>
      </c>
      <c r="AQ130" s="26">
        <f t="shared" si="120"/>
        <v>0</v>
      </c>
      <c r="AR130" s="26">
        <f t="shared" si="120"/>
        <v>0</v>
      </c>
      <c r="AS130" s="26">
        <f t="shared" si="121"/>
        <v>0</v>
      </c>
      <c r="AT130" s="23">
        <v>0</v>
      </c>
      <c r="AU130" s="15">
        <f t="shared" si="108"/>
        <v>0</v>
      </c>
      <c r="AV130" s="26">
        <f t="shared" si="122"/>
        <v>0</v>
      </c>
      <c r="AW130" s="26">
        <f t="shared" si="122"/>
        <v>0</v>
      </c>
      <c r="AX130" s="26">
        <f t="shared" si="129"/>
        <v>0</v>
      </c>
      <c r="AY130" s="26"/>
      <c r="AZ130" s="15">
        <f t="shared" si="115"/>
        <v>0</v>
      </c>
      <c r="BA130" s="26">
        <f t="shared" si="130"/>
        <v>0</v>
      </c>
      <c r="BB130" s="26">
        <f t="shared" si="130"/>
        <v>0</v>
      </c>
      <c r="BC130" s="26">
        <f t="shared" si="131"/>
        <v>0</v>
      </c>
      <c r="BD130" s="23">
        <v>0</v>
      </c>
      <c r="BE130" s="15">
        <f t="shared" si="109"/>
        <v>0</v>
      </c>
      <c r="BF130" s="26">
        <f t="shared" si="123"/>
        <v>0</v>
      </c>
      <c r="BG130" s="26">
        <f t="shared" si="123"/>
        <v>0</v>
      </c>
      <c r="BH130" s="26">
        <f t="shared" si="124"/>
        <v>0</v>
      </c>
      <c r="BI130" s="23">
        <v>0</v>
      </c>
      <c r="BJ130" s="15">
        <f t="shared" si="110"/>
        <v>0</v>
      </c>
      <c r="BK130" s="26">
        <f t="shared" si="125"/>
        <v>0</v>
      </c>
      <c r="BL130" s="26">
        <f t="shared" si="125"/>
        <v>0</v>
      </c>
      <c r="BM130" s="26">
        <f t="shared" si="132"/>
        <v>0</v>
      </c>
      <c r="BN130" s="26">
        <f t="shared" si="126"/>
        <v>0</v>
      </c>
      <c r="BO130" s="15">
        <f t="shared" si="111"/>
        <v>0</v>
      </c>
      <c r="BP130" s="20"/>
      <c r="BQ130" s="18"/>
    </row>
    <row r="131" spans="1:69" s="19" customFormat="1" ht="15">
      <c r="A131" s="21"/>
      <c r="B131" s="2" t="s">
        <v>92</v>
      </c>
      <c r="C131" s="40">
        <v>0</v>
      </c>
      <c r="D131" s="40">
        <v>0</v>
      </c>
      <c r="E131" s="40">
        <v>0</v>
      </c>
      <c r="F131" s="23">
        <v>0</v>
      </c>
      <c r="G131" s="15">
        <f t="shared" si="127"/>
        <v>0</v>
      </c>
      <c r="H131" s="26">
        <v>0</v>
      </c>
      <c r="I131" s="26">
        <v>0</v>
      </c>
      <c r="J131" s="26">
        <v>0</v>
      </c>
      <c r="K131" s="23">
        <v>0</v>
      </c>
      <c r="L131" s="15">
        <f t="shared" si="118"/>
        <v>0</v>
      </c>
      <c r="M131" s="26">
        <v>0</v>
      </c>
      <c r="N131" s="26">
        <v>0</v>
      </c>
      <c r="O131" s="26">
        <v>0</v>
      </c>
      <c r="P131" s="23">
        <v>0</v>
      </c>
      <c r="Q131" s="25">
        <f t="shared" si="116"/>
        <v>0</v>
      </c>
      <c r="R131" s="26">
        <v>0</v>
      </c>
      <c r="S131" s="26">
        <v>0</v>
      </c>
      <c r="T131" s="26">
        <v>0</v>
      </c>
      <c r="U131" s="23">
        <v>0</v>
      </c>
      <c r="V131" s="15">
        <f t="shared" si="112"/>
        <v>0</v>
      </c>
      <c r="W131" s="26">
        <v>0</v>
      </c>
      <c r="X131" s="26">
        <v>0</v>
      </c>
      <c r="Y131" s="26">
        <v>0</v>
      </c>
      <c r="Z131" s="23">
        <v>0</v>
      </c>
      <c r="AA131" s="15">
        <f t="shared" si="113"/>
        <v>0</v>
      </c>
      <c r="AB131" s="26">
        <v>0</v>
      </c>
      <c r="AC131" s="26">
        <v>0</v>
      </c>
      <c r="AD131" s="26">
        <v>0</v>
      </c>
      <c r="AE131" s="23">
        <v>0</v>
      </c>
      <c r="AF131" s="15">
        <f t="shared" si="114"/>
        <v>0</v>
      </c>
      <c r="AG131" s="26">
        <v>0</v>
      </c>
      <c r="AH131" s="26">
        <v>0</v>
      </c>
      <c r="AI131" s="26">
        <v>0</v>
      </c>
      <c r="AJ131" s="23">
        <v>0</v>
      </c>
      <c r="AK131" s="15">
        <f t="shared" si="106"/>
        <v>0</v>
      </c>
      <c r="AL131" s="26">
        <f aca="true" t="shared" si="133" ref="AL131:AM162">AG131+(AG131*BP131)</f>
        <v>0</v>
      </c>
      <c r="AM131" s="26">
        <f t="shared" si="133"/>
        <v>0</v>
      </c>
      <c r="AN131" s="26">
        <f t="shared" si="128"/>
        <v>0</v>
      </c>
      <c r="AO131" s="23">
        <v>0</v>
      </c>
      <c r="AP131" s="15">
        <f t="shared" si="107"/>
        <v>0</v>
      </c>
      <c r="AQ131" s="26">
        <f aca="true" t="shared" si="134" ref="AQ131:AR162">AL131+(AL131*BP131)</f>
        <v>0</v>
      </c>
      <c r="AR131" s="26">
        <f t="shared" si="134"/>
        <v>0</v>
      </c>
      <c r="AS131" s="26">
        <f t="shared" si="121"/>
        <v>0</v>
      </c>
      <c r="AT131" s="23">
        <v>0</v>
      </c>
      <c r="AU131" s="15">
        <f t="shared" si="108"/>
        <v>0</v>
      </c>
      <c r="AV131" s="26">
        <f aca="true" t="shared" si="135" ref="AV131:AW162">AQ131+(AQ131*BP131)</f>
        <v>0</v>
      </c>
      <c r="AW131" s="26">
        <f t="shared" si="135"/>
        <v>0</v>
      </c>
      <c r="AX131" s="26">
        <f t="shared" si="129"/>
        <v>0</v>
      </c>
      <c r="AY131" s="26"/>
      <c r="AZ131" s="15">
        <f t="shared" si="115"/>
        <v>0</v>
      </c>
      <c r="BA131" s="26">
        <f t="shared" si="130"/>
        <v>0</v>
      </c>
      <c r="BB131" s="26">
        <f t="shared" si="130"/>
        <v>0</v>
      </c>
      <c r="BC131" s="26">
        <f t="shared" si="131"/>
        <v>0</v>
      </c>
      <c r="BD131" s="23">
        <v>0</v>
      </c>
      <c r="BE131" s="15">
        <f t="shared" si="109"/>
        <v>0</v>
      </c>
      <c r="BF131" s="26">
        <f t="shared" si="123"/>
        <v>0</v>
      </c>
      <c r="BG131" s="26">
        <f t="shared" si="123"/>
        <v>0</v>
      </c>
      <c r="BH131" s="26">
        <f t="shared" si="124"/>
        <v>0</v>
      </c>
      <c r="BI131" s="23">
        <v>0</v>
      </c>
      <c r="BJ131" s="15">
        <f t="shared" si="110"/>
        <v>0</v>
      </c>
      <c r="BK131" s="26">
        <f t="shared" si="125"/>
        <v>0</v>
      </c>
      <c r="BL131" s="26">
        <f t="shared" si="125"/>
        <v>0</v>
      </c>
      <c r="BM131" s="26">
        <f t="shared" si="132"/>
        <v>0</v>
      </c>
      <c r="BN131" s="26">
        <f t="shared" si="126"/>
        <v>0</v>
      </c>
      <c r="BO131" s="15">
        <f t="shared" si="111"/>
        <v>0</v>
      </c>
      <c r="BP131" s="20"/>
      <c r="BQ131" s="18"/>
    </row>
    <row r="132" spans="1:69" s="19" customFormat="1" ht="15">
      <c r="A132" s="21"/>
      <c r="B132" s="2" t="s">
        <v>93</v>
      </c>
      <c r="C132" s="40">
        <v>0</v>
      </c>
      <c r="D132" s="40">
        <v>0</v>
      </c>
      <c r="E132" s="40">
        <v>0</v>
      </c>
      <c r="F132" s="23">
        <v>0</v>
      </c>
      <c r="G132" s="15">
        <f t="shared" si="127"/>
        <v>0</v>
      </c>
      <c r="H132" s="26">
        <v>0</v>
      </c>
      <c r="I132" s="26">
        <v>0</v>
      </c>
      <c r="J132" s="26">
        <v>0</v>
      </c>
      <c r="K132" s="23">
        <v>0</v>
      </c>
      <c r="L132" s="15">
        <f t="shared" si="118"/>
        <v>0</v>
      </c>
      <c r="M132" s="26">
        <v>0</v>
      </c>
      <c r="N132" s="26">
        <v>0</v>
      </c>
      <c r="O132" s="26">
        <v>0</v>
      </c>
      <c r="P132" s="23">
        <v>0</v>
      </c>
      <c r="Q132" s="25">
        <f t="shared" si="116"/>
        <v>0</v>
      </c>
      <c r="R132" s="26">
        <v>0</v>
      </c>
      <c r="S132" s="26">
        <v>0</v>
      </c>
      <c r="T132" s="26">
        <v>0</v>
      </c>
      <c r="U132" s="23">
        <v>0</v>
      </c>
      <c r="V132" s="15">
        <f t="shared" si="112"/>
        <v>0</v>
      </c>
      <c r="W132" s="26">
        <v>0</v>
      </c>
      <c r="X132" s="26">
        <v>0</v>
      </c>
      <c r="Y132" s="26">
        <v>0</v>
      </c>
      <c r="Z132" s="23">
        <v>0</v>
      </c>
      <c r="AA132" s="15">
        <f t="shared" si="113"/>
        <v>0</v>
      </c>
      <c r="AB132" s="26">
        <v>0</v>
      </c>
      <c r="AC132" s="26">
        <v>0</v>
      </c>
      <c r="AD132" s="26">
        <v>0</v>
      </c>
      <c r="AE132" s="23">
        <v>0</v>
      </c>
      <c r="AF132" s="15">
        <f t="shared" si="114"/>
        <v>0</v>
      </c>
      <c r="AG132" s="26">
        <v>0</v>
      </c>
      <c r="AH132" s="26">
        <v>0</v>
      </c>
      <c r="AI132" s="26">
        <v>0</v>
      </c>
      <c r="AJ132" s="23">
        <v>0</v>
      </c>
      <c r="AK132" s="15">
        <f t="shared" si="106"/>
        <v>0</v>
      </c>
      <c r="AL132" s="26">
        <f t="shared" si="133"/>
        <v>0</v>
      </c>
      <c r="AM132" s="26">
        <f t="shared" si="133"/>
        <v>0</v>
      </c>
      <c r="AN132" s="26">
        <f t="shared" si="128"/>
        <v>0</v>
      </c>
      <c r="AO132" s="23">
        <v>0</v>
      </c>
      <c r="AP132" s="15">
        <f t="shared" si="107"/>
        <v>0</v>
      </c>
      <c r="AQ132" s="26">
        <f t="shared" si="134"/>
        <v>0</v>
      </c>
      <c r="AR132" s="26">
        <f t="shared" si="134"/>
        <v>0</v>
      </c>
      <c r="AS132" s="26">
        <f t="shared" si="121"/>
        <v>0</v>
      </c>
      <c r="AT132" s="23">
        <v>0</v>
      </c>
      <c r="AU132" s="15">
        <f t="shared" si="108"/>
        <v>0</v>
      </c>
      <c r="AV132" s="26">
        <f t="shared" si="135"/>
        <v>0</v>
      </c>
      <c r="AW132" s="26">
        <f t="shared" si="135"/>
        <v>0</v>
      </c>
      <c r="AX132" s="26">
        <f t="shared" si="129"/>
        <v>0</v>
      </c>
      <c r="AY132" s="26"/>
      <c r="AZ132" s="15">
        <f t="shared" si="115"/>
        <v>0</v>
      </c>
      <c r="BA132" s="26">
        <f aca="true" t="shared" si="136" ref="BA132:BB163">AV132+(AV132*BP132)</f>
        <v>0</v>
      </c>
      <c r="BB132" s="26">
        <f t="shared" si="136"/>
        <v>0</v>
      </c>
      <c r="BC132" s="26">
        <f t="shared" si="131"/>
        <v>0</v>
      </c>
      <c r="BD132" s="23">
        <v>0</v>
      </c>
      <c r="BE132" s="15">
        <f t="shared" si="109"/>
        <v>0</v>
      </c>
      <c r="BF132" s="26">
        <f t="shared" si="123"/>
        <v>0</v>
      </c>
      <c r="BG132" s="26">
        <f t="shared" si="123"/>
        <v>0</v>
      </c>
      <c r="BH132" s="26">
        <f t="shared" si="124"/>
        <v>0</v>
      </c>
      <c r="BI132" s="23">
        <v>0</v>
      </c>
      <c r="BJ132" s="15">
        <f t="shared" si="110"/>
        <v>0</v>
      </c>
      <c r="BK132" s="26">
        <f t="shared" si="125"/>
        <v>0</v>
      </c>
      <c r="BL132" s="26">
        <f t="shared" si="125"/>
        <v>0</v>
      </c>
      <c r="BM132" s="26">
        <f t="shared" si="132"/>
        <v>0</v>
      </c>
      <c r="BN132" s="26">
        <f t="shared" si="126"/>
        <v>0</v>
      </c>
      <c r="BO132" s="15">
        <f t="shared" si="111"/>
        <v>0</v>
      </c>
      <c r="BP132" s="20"/>
      <c r="BQ132" s="18"/>
    </row>
    <row r="133" spans="1:69" s="19" customFormat="1" ht="15">
      <c r="A133" s="21">
        <v>2702</v>
      </c>
      <c r="B133" s="2" t="s">
        <v>247</v>
      </c>
      <c r="C133" s="31">
        <v>1.24</v>
      </c>
      <c r="D133" s="31">
        <f>6.01+E133</f>
        <v>6.09</v>
      </c>
      <c r="E133" s="31">
        <v>0.08</v>
      </c>
      <c r="F133" s="23">
        <v>0</v>
      </c>
      <c r="G133" s="15">
        <f t="shared" si="127"/>
        <v>7.33</v>
      </c>
      <c r="H133" s="26">
        <v>1.74</v>
      </c>
      <c r="I133" s="26">
        <f>7.28+J133</f>
        <v>7.36</v>
      </c>
      <c r="J133" s="26">
        <v>0.08</v>
      </c>
      <c r="K133" s="23">
        <v>0</v>
      </c>
      <c r="L133" s="15">
        <f t="shared" si="118"/>
        <v>9.1</v>
      </c>
      <c r="M133" s="26">
        <v>2.21</v>
      </c>
      <c r="N133" s="26">
        <f>30.73+O133</f>
        <v>30.85</v>
      </c>
      <c r="O133" s="26">
        <v>0.12</v>
      </c>
      <c r="P133" s="23">
        <v>0</v>
      </c>
      <c r="Q133" s="25">
        <f t="shared" si="116"/>
        <v>33.06</v>
      </c>
      <c r="R133" s="26">
        <v>1.54</v>
      </c>
      <c r="S133" s="26">
        <f>39.5+T133</f>
        <v>39.74</v>
      </c>
      <c r="T133" s="26">
        <v>0.24</v>
      </c>
      <c r="U133" s="23">
        <v>0</v>
      </c>
      <c r="V133" s="15">
        <f t="shared" si="112"/>
        <v>41.28</v>
      </c>
      <c r="W133" s="26">
        <v>2.22</v>
      </c>
      <c r="X133" s="26">
        <f>32.09+Y133</f>
        <v>32.25</v>
      </c>
      <c r="Y133" s="26">
        <v>0.16</v>
      </c>
      <c r="Z133" s="23">
        <v>0</v>
      </c>
      <c r="AA133" s="15">
        <f t="shared" si="113"/>
        <v>34.47</v>
      </c>
      <c r="AB133" s="1">
        <v>3.52</v>
      </c>
      <c r="AC133" s="1">
        <v>138.23</v>
      </c>
      <c r="AD133" s="26">
        <v>0</v>
      </c>
      <c r="AE133" s="23">
        <v>0</v>
      </c>
      <c r="AF133" s="15">
        <f t="shared" si="114"/>
        <v>141.75</v>
      </c>
      <c r="AG133" s="1">
        <v>3.26</v>
      </c>
      <c r="AH133" s="1">
        <v>139.68</v>
      </c>
      <c r="AI133" s="1">
        <v>0.17</v>
      </c>
      <c r="AJ133" s="23">
        <v>0</v>
      </c>
      <c r="AK133" s="15">
        <f aca="true" t="shared" si="137" ref="AK133:AK195">+AG133+AH133</f>
        <v>142.94</v>
      </c>
      <c r="AL133" s="26">
        <f t="shared" si="133"/>
        <v>3.8029659008951677</v>
      </c>
      <c r="AM133" s="26">
        <f t="shared" si="133"/>
        <v>155.394</v>
      </c>
      <c r="AN133" s="26">
        <f t="shared" si="128"/>
        <v>0.18912500000000002</v>
      </c>
      <c r="AO133" s="23">
        <v>0</v>
      </c>
      <c r="AP133" s="15">
        <f aca="true" t="shared" si="138" ref="AP133:AP195">+AL133+AM133</f>
        <v>159.19696590089518</v>
      </c>
      <c r="AQ133" s="26">
        <f t="shared" si="134"/>
        <v>4.436364921279569</v>
      </c>
      <c r="AR133" s="26">
        <f t="shared" si="134"/>
        <v>172.87582500000002</v>
      </c>
      <c r="AS133" s="26">
        <f t="shared" si="121"/>
        <v>0.21040156250000003</v>
      </c>
      <c r="AT133" s="23">
        <v>0</v>
      </c>
      <c r="AU133" s="15">
        <f aca="true" t="shared" si="139" ref="AU133:AU195">+AQ133+AR133</f>
        <v>177.31218992127958</v>
      </c>
      <c r="AV133" s="26">
        <f t="shared" si="135"/>
        <v>5.175259055077815</v>
      </c>
      <c r="AW133" s="26">
        <f t="shared" si="135"/>
        <v>192.32435531250002</v>
      </c>
      <c r="AX133" s="26">
        <f t="shared" si="129"/>
        <v>0.23407173828125002</v>
      </c>
      <c r="AY133" s="26"/>
      <c r="AZ133" s="15">
        <f t="shared" si="115"/>
        <v>197.49961436757783</v>
      </c>
      <c r="BA133" s="26">
        <f t="shared" si="136"/>
        <v>6.037218930907938</v>
      </c>
      <c r="BB133" s="26">
        <f t="shared" si="136"/>
        <v>213.96084528515627</v>
      </c>
      <c r="BC133" s="26">
        <f t="shared" si="131"/>
        <v>0.26040480883789063</v>
      </c>
      <c r="BD133" s="23">
        <v>0</v>
      </c>
      <c r="BE133" s="15">
        <f aca="true" t="shared" si="140" ref="BE133:BE195">+BA133+BB133</f>
        <v>219.9980642160642</v>
      </c>
      <c r="BF133" s="26">
        <f t="shared" si="123"/>
        <v>7.042741635117076</v>
      </c>
      <c r="BG133" s="26">
        <f t="shared" si="123"/>
        <v>238.03144037973635</v>
      </c>
      <c r="BH133" s="26">
        <f t="shared" si="124"/>
        <v>0.2897003498321533</v>
      </c>
      <c r="BI133" s="23">
        <v>0</v>
      </c>
      <c r="BJ133" s="15">
        <f aca="true" t="shared" si="141" ref="BJ133:BJ195">+BF133+BG133</f>
        <v>245.07418201485342</v>
      </c>
      <c r="BK133" s="26">
        <f t="shared" si="125"/>
        <v>8.215738124897214</v>
      </c>
      <c r="BL133" s="26">
        <f t="shared" si="125"/>
        <v>264.8099774224567</v>
      </c>
      <c r="BM133" s="26">
        <f t="shared" si="132"/>
        <v>0.3222916391882706</v>
      </c>
      <c r="BN133" s="26">
        <f t="shared" si="126"/>
        <v>0</v>
      </c>
      <c r="BO133" s="15">
        <f aca="true" t="shared" si="142" ref="BO133:BO195">+BK133+BL133</f>
        <v>273.0257155473539</v>
      </c>
      <c r="BP133" s="20">
        <v>0.16655395732980607</v>
      </c>
      <c r="BQ133" s="18">
        <v>0.1125</v>
      </c>
    </row>
    <row r="134" spans="1:69" s="19" customFormat="1" ht="15">
      <c r="A134" s="21" t="s">
        <v>49</v>
      </c>
      <c r="B134" s="2" t="s">
        <v>95</v>
      </c>
      <c r="C134" s="31">
        <v>0.66</v>
      </c>
      <c r="D134" s="31">
        <v>1.65</v>
      </c>
      <c r="E134" s="40">
        <v>0</v>
      </c>
      <c r="F134" s="23">
        <v>0</v>
      </c>
      <c r="G134" s="15">
        <f t="shared" si="127"/>
        <v>2.31</v>
      </c>
      <c r="H134" s="26">
        <v>1.13</v>
      </c>
      <c r="I134" s="26">
        <v>2.63</v>
      </c>
      <c r="J134" s="26">
        <v>0</v>
      </c>
      <c r="K134" s="23">
        <v>0</v>
      </c>
      <c r="L134" s="15">
        <f t="shared" si="118"/>
        <v>3.76</v>
      </c>
      <c r="M134" s="26">
        <v>0.71</v>
      </c>
      <c r="N134" s="26">
        <v>26.42</v>
      </c>
      <c r="O134" s="26">
        <v>0</v>
      </c>
      <c r="P134" s="23">
        <v>0</v>
      </c>
      <c r="Q134" s="25">
        <f t="shared" si="116"/>
        <v>27.130000000000003</v>
      </c>
      <c r="R134" s="26">
        <v>0.33</v>
      </c>
      <c r="S134" s="26">
        <v>33.57</v>
      </c>
      <c r="T134" s="26">
        <v>0</v>
      </c>
      <c r="U134" s="23">
        <v>0</v>
      </c>
      <c r="V134" s="15">
        <f aca="true" t="shared" si="143" ref="V134:V195">+R134+S134</f>
        <v>33.9</v>
      </c>
      <c r="W134" s="26">
        <v>0.54</v>
      </c>
      <c r="X134" s="26">
        <v>25.81</v>
      </c>
      <c r="Y134" s="26">
        <v>0</v>
      </c>
      <c r="Z134" s="23">
        <v>0</v>
      </c>
      <c r="AA134" s="15">
        <f aca="true" t="shared" si="144" ref="AA134:AA186">+W134+X134</f>
        <v>26.349999999999998</v>
      </c>
      <c r="AB134" s="26">
        <v>0</v>
      </c>
      <c r="AC134" s="26">
        <v>0</v>
      </c>
      <c r="AD134" s="26">
        <v>0</v>
      </c>
      <c r="AE134" s="23">
        <v>0</v>
      </c>
      <c r="AF134" s="15">
        <f aca="true" t="shared" si="145" ref="AF134:AF195">+AB134+AC134</f>
        <v>0</v>
      </c>
      <c r="AG134" s="26">
        <v>0</v>
      </c>
      <c r="AH134" s="26">
        <v>0</v>
      </c>
      <c r="AI134" s="26">
        <v>0</v>
      </c>
      <c r="AJ134" s="23">
        <v>0</v>
      </c>
      <c r="AK134" s="15">
        <f t="shared" si="137"/>
        <v>0</v>
      </c>
      <c r="AL134" s="26">
        <f t="shared" si="133"/>
        <v>0</v>
      </c>
      <c r="AM134" s="26">
        <f t="shared" si="133"/>
        <v>0</v>
      </c>
      <c r="AN134" s="26">
        <f t="shared" si="128"/>
        <v>0</v>
      </c>
      <c r="AO134" s="23">
        <v>0</v>
      </c>
      <c r="AP134" s="15">
        <f t="shared" si="138"/>
        <v>0</v>
      </c>
      <c r="AQ134" s="26">
        <f t="shared" si="134"/>
        <v>0</v>
      </c>
      <c r="AR134" s="26">
        <f t="shared" si="134"/>
        <v>0</v>
      </c>
      <c r="AS134" s="26">
        <f t="shared" si="121"/>
        <v>0</v>
      </c>
      <c r="AT134" s="23">
        <v>0</v>
      </c>
      <c r="AU134" s="15">
        <f t="shared" si="139"/>
        <v>0</v>
      </c>
      <c r="AV134" s="26">
        <f t="shared" si="135"/>
        <v>0</v>
      </c>
      <c r="AW134" s="26">
        <f t="shared" si="135"/>
        <v>0</v>
      </c>
      <c r="AX134" s="26">
        <f t="shared" si="129"/>
        <v>0</v>
      </c>
      <c r="AY134" s="26"/>
      <c r="AZ134" s="15">
        <f aca="true" t="shared" si="146" ref="AZ134:AZ186">+AV134+AW134</f>
        <v>0</v>
      </c>
      <c r="BA134" s="26">
        <f t="shared" si="136"/>
        <v>0</v>
      </c>
      <c r="BB134" s="26">
        <f t="shared" si="136"/>
        <v>0</v>
      </c>
      <c r="BC134" s="26">
        <f t="shared" si="131"/>
        <v>0</v>
      </c>
      <c r="BD134" s="23">
        <v>0</v>
      </c>
      <c r="BE134" s="15">
        <f t="shared" si="140"/>
        <v>0</v>
      </c>
      <c r="BF134" s="26">
        <f t="shared" si="123"/>
        <v>0</v>
      </c>
      <c r="BG134" s="26">
        <f t="shared" si="123"/>
        <v>0</v>
      </c>
      <c r="BH134" s="26">
        <f t="shared" si="124"/>
        <v>0</v>
      </c>
      <c r="BI134" s="23">
        <v>0</v>
      </c>
      <c r="BJ134" s="15">
        <f t="shared" si="141"/>
        <v>0</v>
      </c>
      <c r="BK134" s="26">
        <f t="shared" si="125"/>
        <v>0</v>
      </c>
      <c r="BL134" s="26">
        <f t="shared" si="125"/>
        <v>0</v>
      </c>
      <c r="BM134" s="26">
        <f t="shared" si="132"/>
        <v>0</v>
      </c>
      <c r="BN134" s="26">
        <f t="shared" si="126"/>
        <v>0</v>
      </c>
      <c r="BO134" s="15">
        <f t="shared" si="142"/>
        <v>0</v>
      </c>
      <c r="BP134" s="20"/>
      <c r="BQ134" s="18"/>
    </row>
    <row r="135" spans="1:69" s="19" customFormat="1" ht="15">
      <c r="A135" s="21" t="s">
        <v>51</v>
      </c>
      <c r="B135" s="2" t="s">
        <v>96</v>
      </c>
      <c r="C135" s="40">
        <v>0</v>
      </c>
      <c r="D135" s="40">
        <v>0</v>
      </c>
      <c r="E135" s="40">
        <v>0</v>
      </c>
      <c r="F135" s="23">
        <v>0</v>
      </c>
      <c r="G135" s="15">
        <f t="shared" si="127"/>
        <v>0</v>
      </c>
      <c r="H135" s="26">
        <v>0</v>
      </c>
      <c r="I135" s="26">
        <v>0</v>
      </c>
      <c r="J135" s="26">
        <v>0</v>
      </c>
      <c r="K135" s="23">
        <v>0</v>
      </c>
      <c r="L135" s="15">
        <f t="shared" si="118"/>
        <v>0</v>
      </c>
      <c r="M135" s="26">
        <v>0</v>
      </c>
      <c r="N135" s="26">
        <v>0</v>
      </c>
      <c r="O135" s="26">
        <v>0</v>
      </c>
      <c r="P135" s="23">
        <v>0</v>
      </c>
      <c r="Q135" s="25">
        <f aca="true" t="shared" si="147" ref="Q135:Q187">+M135+N135</f>
        <v>0</v>
      </c>
      <c r="R135" s="26">
        <v>0</v>
      </c>
      <c r="S135" s="26">
        <v>0</v>
      </c>
      <c r="T135" s="26">
        <v>0</v>
      </c>
      <c r="U135" s="23">
        <v>0</v>
      </c>
      <c r="V135" s="15">
        <f t="shared" si="143"/>
        <v>0</v>
      </c>
      <c r="W135" s="26">
        <v>0</v>
      </c>
      <c r="X135" s="26">
        <v>0</v>
      </c>
      <c r="Y135" s="26">
        <v>0</v>
      </c>
      <c r="Z135" s="23">
        <v>0</v>
      </c>
      <c r="AA135" s="15">
        <f t="shared" si="144"/>
        <v>0</v>
      </c>
      <c r="AB135" s="26">
        <v>0</v>
      </c>
      <c r="AC135" s="26">
        <v>0</v>
      </c>
      <c r="AD135" s="26">
        <v>0</v>
      </c>
      <c r="AE135" s="23">
        <v>0</v>
      </c>
      <c r="AF135" s="15">
        <f t="shared" si="145"/>
        <v>0</v>
      </c>
      <c r="AG135" s="26">
        <v>0</v>
      </c>
      <c r="AH135" s="26">
        <v>0</v>
      </c>
      <c r="AI135" s="26">
        <v>0</v>
      </c>
      <c r="AJ135" s="23">
        <v>0</v>
      </c>
      <c r="AK135" s="15">
        <f t="shared" si="137"/>
        <v>0</v>
      </c>
      <c r="AL135" s="26">
        <f t="shared" si="133"/>
        <v>0</v>
      </c>
      <c r="AM135" s="26">
        <f t="shared" si="133"/>
        <v>0</v>
      </c>
      <c r="AN135" s="26">
        <f t="shared" si="128"/>
        <v>0</v>
      </c>
      <c r="AO135" s="23">
        <v>0</v>
      </c>
      <c r="AP135" s="15">
        <f t="shared" si="138"/>
        <v>0</v>
      </c>
      <c r="AQ135" s="26">
        <f t="shared" si="134"/>
        <v>0</v>
      </c>
      <c r="AR135" s="26">
        <f t="shared" si="134"/>
        <v>0</v>
      </c>
      <c r="AS135" s="26">
        <f t="shared" si="121"/>
        <v>0</v>
      </c>
      <c r="AT135" s="23">
        <v>0</v>
      </c>
      <c r="AU135" s="15">
        <f t="shared" si="139"/>
        <v>0</v>
      </c>
      <c r="AV135" s="26">
        <f t="shared" si="135"/>
        <v>0</v>
      </c>
      <c r="AW135" s="26">
        <f t="shared" si="135"/>
        <v>0</v>
      </c>
      <c r="AX135" s="26">
        <f t="shared" si="129"/>
        <v>0</v>
      </c>
      <c r="AY135" s="26"/>
      <c r="AZ135" s="15">
        <f t="shared" si="146"/>
        <v>0</v>
      </c>
      <c r="BA135" s="26">
        <f t="shared" si="136"/>
        <v>0</v>
      </c>
      <c r="BB135" s="26">
        <f t="shared" si="136"/>
        <v>0</v>
      </c>
      <c r="BC135" s="26">
        <f t="shared" si="131"/>
        <v>0</v>
      </c>
      <c r="BD135" s="23">
        <v>0</v>
      </c>
      <c r="BE135" s="15">
        <f t="shared" si="140"/>
        <v>0</v>
      </c>
      <c r="BF135" s="26">
        <f t="shared" si="123"/>
        <v>0</v>
      </c>
      <c r="BG135" s="26">
        <f t="shared" si="123"/>
        <v>0</v>
      </c>
      <c r="BH135" s="26">
        <f t="shared" si="124"/>
        <v>0</v>
      </c>
      <c r="BI135" s="23">
        <v>0</v>
      </c>
      <c r="BJ135" s="15">
        <f t="shared" si="141"/>
        <v>0</v>
      </c>
      <c r="BK135" s="26">
        <f t="shared" si="125"/>
        <v>0</v>
      </c>
      <c r="BL135" s="26">
        <f t="shared" si="125"/>
        <v>0</v>
      </c>
      <c r="BM135" s="26">
        <f t="shared" si="132"/>
        <v>0</v>
      </c>
      <c r="BN135" s="26">
        <f t="shared" si="126"/>
        <v>0</v>
      </c>
      <c r="BO135" s="15">
        <f t="shared" si="142"/>
        <v>0</v>
      </c>
      <c r="BP135" s="20"/>
      <c r="BQ135" s="18"/>
    </row>
    <row r="136" spans="1:69" s="19" customFormat="1" ht="30">
      <c r="A136" s="21">
        <v>2705</v>
      </c>
      <c r="B136" s="2" t="s">
        <v>199</v>
      </c>
      <c r="C136" s="40">
        <v>0</v>
      </c>
      <c r="D136" s="31">
        <v>0.04</v>
      </c>
      <c r="E136" s="40">
        <v>0</v>
      </c>
      <c r="F136" s="23">
        <v>0</v>
      </c>
      <c r="G136" s="15">
        <f t="shared" si="127"/>
        <v>0.04</v>
      </c>
      <c r="H136" s="26">
        <v>0</v>
      </c>
      <c r="I136" s="26">
        <v>0.11</v>
      </c>
      <c r="J136" s="26">
        <v>0</v>
      </c>
      <c r="K136" s="23">
        <v>0</v>
      </c>
      <c r="L136" s="15">
        <f t="shared" si="118"/>
        <v>0.11</v>
      </c>
      <c r="M136" s="26">
        <v>0</v>
      </c>
      <c r="N136" s="26">
        <v>0.04</v>
      </c>
      <c r="O136" s="26">
        <v>0</v>
      </c>
      <c r="P136" s="23">
        <v>0</v>
      </c>
      <c r="Q136" s="25">
        <f t="shared" si="147"/>
        <v>0.04</v>
      </c>
      <c r="R136" s="26">
        <v>0</v>
      </c>
      <c r="S136" s="26">
        <v>0</v>
      </c>
      <c r="T136" s="26">
        <v>0</v>
      </c>
      <c r="U136" s="23">
        <v>0</v>
      </c>
      <c r="V136" s="15">
        <f t="shared" si="143"/>
        <v>0</v>
      </c>
      <c r="W136" s="26">
        <v>0</v>
      </c>
      <c r="X136" s="26">
        <v>0</v>
      </c>
      <c r="Y136" s="26">
        <v>0</v>
      </c>
      <c r="Z136" s="23">
        <v>0</v>
      </c>
      <c r="AA136" s="15">
        <f t="shared" si="144"/>
        <v>0</v>
      </c>
      <c r="AB136" s="26">
        <v>0</v>
      </c>
      <c r="AC136" s="1">
        <v>2</v>
      </c>
      <c r="AD136" s="26">
        <v>0</v>
      </c>
      <c r="AE136" s="23">
        <v>0</v>
      </c>
      <c r="AF136" s="15">
        <f t="shared" si="145"/>
        <v>2</v>
      </c>
      <c r="AG136" s="26">
        <v>0</v>
      </c>
      <c r="AH136" s="1">
        <v>2</v>
      </c>
      <c r="AI136" s="26">
        <v>0</v>
      </c>
      <c r="AJ136" s="23">
        <v>0</v>
      </c>
      <c r="AK136" s="15">
        <f t="shared" si="137"/>
        <v>2</v>
      </c>
      <c r="AL136" s="26">
        <f t="shared" si="133"/>
        <v>0</v>
      </c>
      <c r="AM136" s="26">
        <f t="shared" si="133"/>
        <v>2.225</v>
      </c>
      <c r="AN136" s="26">
        <f t="shared" si="128"/>
        <v>0</v>
      </c>
      <c r="AO136" s="23">
        <v>0</v>
      </c>
      <c r="AP136" s="15">
        <f t="shared" si="138"/>
        <v>2.225</v>
      </c>
      <c r="AQ136" s="26">
        <f t="shared" si="134"/>
        <v>0</v>
      </c>
      <c r="AR136" s="26">
        <f t="shared" si="134"/>
        <v>2.4753125000000002</v>
      </c>
      <c r="AS136" s="26">
        <f t="shared" si="121"/>
        <v>0</v>
      </c>
      <c r="AT136" s="23">
        <v>0</v>
      </c>
      <c r="AU136" s="15">
        <f t="shared" si="139"/>
        <v>2.4753125000000002</v>
      </c>
      <c r="AV136" s="26">
        <f t="shared" si="135"/>
        <v>0</v>
      </c>
      <c r="AW136" s="26">
        <f t="shared" si="135"/>
        <v>2.75378515625</v>
      </c>
      <c r="AX136" s="26">
        <f t="shared" si="129"/>
        <v>0</v>
      </c>
      <c r="AY136" s="26"/>
      <c r="AZ136" s="15">
        <f t="shared" si="146"/>
        <v>2.75378515625</v>
      </c>
      <c r="BA136" s="26">
        <f t="shared" si="136"/>
        <v>0</v>
      </c>
      <c r="BB136" s="26">
        <f t="shared" si="136"/>
        <v>3.063585986328125</v>
      </c>
      <c r="BC136" s="26">
        <f t="shared" si="131"/>
        <v>0</v>
      </c>
      <c r="BD136" s="23">
        <v>0</v>
      </c>
      <c r="BE136" s="15">
        <f t="shared" si="140"/>
        <v>3.063585986328125</v>
      </c>
      <c r="BF136" s="26">
        <f t="shared" si="123"/>
        <v>0</v>
      </c>
      <c r="BG136" s="26">
        <f t="shared" si="123"/>
        <v>3.4082394097900393</v>
      </c>
      <c r="BH136" s="26">
        <f t="shared" si="124"/>
        <v>0</v>
      </c>
      <c r="BI136" s="23">
        <v>0</v>
      </c>
      <c r="BJ136" s="15">
        <f t="shared" si="141"/>
        <v>3.4082394097900393</v>
      </c>
      <c r="BK136" s="26">
        <f t="shared" si="125"/>
        <v>0</v>
      </c>
      <c r="BL136" s="26">
        <f t="shared" si="125"/>
        <v>3.7916663433914186</v>
      </c>
      <c r="BM136" s="26">
        <f t="shared" si="132"/>
        <v>0</v>
      </c>
      <c r="BN136" s="26">
        <f t="shared" si="126"/>
        <v>0</v>
      </c>
      <c r="BO136" s="15">
        <f t="shared" si="142"/>
        <v>3.7916663433914186</v>
      </c>
      <c r="BP136" s="20"/>
      <c r="BQ136" s="18">
        <v>0.1125</v>
      </c>
    </row>
    <row r="137" spans="1:69" s="19" customFormat="1" ht="15">
      <c r="A137" s="21">
        <v>2711</v>
      </c>
      <c r="B137" s="2" t="s">
        <v>97</v>
      </c>
      <c r="C137" s="31">
        <v>0.07</v>
      </c>
      <c r="D137" s="31">
        <f>5.14+E137</f>
        <v>6.069999999999999</v>
      </c>
      <c r="E137" s="31">
        <v>0.93</v>
      </c>
      <c r="F137" s="23">
        <v>0</v>
      </c>
      <c r="G137" s="15">
        <f t="shared" si="127"/>
        <v>6.14</v>
      </c>
      <c r="H137" s="26">
        <v>0.07</v>
      </c>
      <c r="I137" s="26">
        <f>4.37+J137</f>
        <v>17.71</v>
      </c>
      <c r="J137" s="26">
        <v>13.34</v>
      </c>
      <c r="K137" s="23">
        <v>0</v>
      </c>
      <c r="L137" s="15">
        <f t="shared" si="118"/>
        <v>17.78</v>
      </c>
      <c r="M137" s="26">
        <v>0.08</v>
      </c>
      <c r="N137" s="26">
        <v>3.48</v>
      </c>
      <c r="O137" s="26">
        <v>0</v>
      </c>
      <c r="P137" s="23">
        <v>0</v>
      </c>
      <c r="Q137" s="25">
        <f t="shared" si="147"/>
        <v>3.56</v>
      </c>
      <c r="R137" s="26">
        <v>0</v>
      </c>
      <c r="S137" s="26">
        <v>2.28</v>
      </c>
      <c r="T137" s="26">
        <v>0</v>
      </c>
      <c r="U137" s="23">
        <v>0</v>
      </c>
      <c r="V137" s="15">
        <f t="shared" si="143"/>
        <v>2.28</v>
      </c>
      <c r="W137" s="26">
        <v>0</v>
      </c>
      <c r="X137" s="26">
        <v>5.65</v>
      </c>
      <c r="Y137" s="26">
        <v>0</v>
      </c>
      <c r="Z137" s="23">
        <v>0</v>
      </c>
      <c r="AA137" s="15">
        <f t="shared" si="144"/>
        <v>5.65</v>
      </c>
      <c r="AB137" s="1">
        <v>0.1</v>
      </c>
      <c r="AC137" s="1">
        <v>6</v>
      </c>
      <c r="AD137" s="26">
        <v>0</v>
      </c>
      <c r="AE137" s="23">
        <v>0</v>
      </c>
      <c r="AF137" s="15">
        <f t="shared" si="145"/>
        <v>6.1</v>
      </c>
      <c r="AG137" s="1">
        <v>0.1</v>
      </c>
      <c r="AH137" s="1">
        <v>2</v>
      </c>
      <c r="AI137" s="26">
        <v>0</v>
      </c>
      <c r="AJ137" s="23">
        <v>0</v>
      </c>
      <c r="AK137" s="15">
        <f t="shared" si="137"/>
        <v>2.1</v>
      </c>
      <c r="AL137" s="26">
        <f t="shared" si="133"/>
        <v>0.1</v>
      </c>
      <c r="AM137" s="26">
        <f t="shared" si="133"/>
        <v>2.225</v>
      </c>
      <c r="AN137" s="26">
        <f t="shared" si="128"/>
        <v>0</v>
      </c>
      <c r="AO137" s="23">
        <v>0</v>
      </c>
      <c r="AP137" s="15">
        <f t="shared" si="138"/>
        <v>2.325</v>
      </c>
      <c r="AQ137" s="26">
        <f t="shared" si="134"/>
        <v>0.1</v>
      </c>
      <c r="AR137" s="26">
        <f t="shared" si="134"/>
        <v>2.4753125000000002</v>
      </c>
      <c r="AS137" s="26">
        <f t="shared" si="121"/>
        <v>0</v>
      </c>
      <c r="AT137" s="23">
        <v>0</v>
      </c>
      <c r="AU137" s="15">
        <f t="shared" si="139"/>
        <v>2.5753125000000003</v>
      </c>
      <c r="AV137" s="26">
        <f t="shared" si="135"/>
        <v>0.1</v>
      </c>
      <c r="AW137" s="26">
        <f t="shared" si="135"/>
        <v>2.75378515625</v>
      </c>
      <c r="AX137" s="26">
        <f t="shared" si="129"/>
        <v>0</v>
      </c>
      <c r="AY137" s="26"/>
      <c r="AZ137" s="15">
        <f t="shared" si="146"/>
        <v>2.8537851562500003</v>
      </c>
      <c r="BA137" s="26">
        <f t="shared" si="136"/>
        <v>0.1</v>
      </c>
      <c r="BB137" s="26">
        <f t="shared" si="136"/>
        <v>3.063585986328125</v>
      </c>
      <c r="BC137" s="26">
        <f t="shared" si="131"/>
        <v>0</v>
      </c>
      <c r="BD137" s="23">
        <v>0</v>
      </c>
      <c r="BE137" s="15">
        <f t="shared" si="140"/>
        <v>3.1635859863281253</v>
      </c>
      <c r="BF137" s="26">
        <f t="shared" si="123"/>
        <v>0.1</v>
      </c>
      <c r="BG137" s="26">
        <f t="shared" si="123"/>
        <v>3.4082394097900393</v>
      </c>
      <c r="BH137" s="26">
        <f t="shared" si="124"/>
        <v>0</v>
      </c>
      <c r="BI137" s="23">
        <v>0</v>
      </c>
      <c r="BJ137" s="15">
        <f t="shared" si="141"/>
        <v>3.5082394097900393</v>
      </c>
      <c r="BK137" s="26">
        <f t="shared" si="125"/>
        <v>0.1</v>
      </c>
      <c r="BL137" s="26">
        <f t="shared" si="125"/>
        <v>3.7916663433914186</v>
      </c>
      <c r="BM137" s="26">
        <f t="shared" si="132"/>
        <v>0</v>
      </c>
      <c r="BN137" s="26">
        <f t="shared" si="126"/>
        <v>0</v>
      </c>
      <c r="BO137" s="15">
        <f t="shared" si="142"/>
        <v>3.8916663433914187</v>
      </c>
      <c r="BP137" s="20"/>
      <c r="BQ137" s="18">
        <v>0.1125</v>
      </c>
    </row>
    <row r="138" spans="1:69" s="19" customFormat="1" ht="15">
      <c r="A138" s="21">
        <v>2801</v>
      </c>
      <c r="B138" s="2" t="s">
        <v>236</v>
      </c>
      <c r="C138" s="40">
        <v>20.1</v>
      </c>
      <c r="D138" s="40">
        <v>17.17</v>
      </c>
      <c r="E138" s="40">
        <v>0</v>
      </c>
      <c r="F138" s="23">
        <v>0</v>
      </c>
      <c r="G138" s="15">
        <f t="shared" si="127"/>
        <v>37.27</v>
      </c>
      <c r="H138" s="26">
        <v>24.38</v>
      </c>
      <c r="I138" s="26">
        <v>24.82</v>
      </c>
      <c r="J138" s="26">
        <v>0</v>
      </c>
      <c r="K138" s="23">
        <v>0</v>
      </c>
      <c r="L138" s="15">
        <f t="shared" si="118"/>
        <v>49.2</v>
      </c>
      <c r="M138" s="26">
        <v>34.29</v>
      </c>
      <c r="N138" s="26">
        <v>25.62</v>
      </c>
      <c r="O138" s="26">
        <v>0</v>
      </c>
      <c r="P138" s="23">
        <v>0</v>
      </c>
      <c r="Q138" s="25">
        <f t="shared" si="147"/>
        <v>59.91</v>
      </c>
      <c r="R138" s="26">
        <v>35.8</v>
      </c>
      <c r="S138" s="26">
        <v>40.39</v>
      </c>
      <c r="T138" s="26">
        <v>0</v>
      </c>
      <c r="U138" s="23">
        <v>0</v>
      </c>
      <c r="V138" s="15">
        <f t="shared" si="143"/>
        <v>76.19</v>
      </c>
      <c r="W138" s="26">
        <v>62.72</v>
      </c>
      <c r="X138" s="26">
        <v>34.66</v>
      </c>
      <c r="Y138" s="26">
        <v>0</v>
      </c>
      <c r="Z138" s="23">
        <v>0</v>
      </c>
      <c r="AA138" s="15">
        <f t="shared" si="144"/>
        <v>97.38</v>
      </c>
      <c r="AB138" s="1">
        <v>72.04</v>
      </c>
      <c r="AC138" s="1">
        <v>24.34</v>
      </c>
      <c r="AD138" s="26">
        <v>0</v>
      </c>
      <c r="AE138" s="23">
        <v>0</v>
      </c>
      <c r="AF138" s="15">
        <f t="shared" si="145"/>
        <v>96.38000000000001</v>
      </c>
      <c r="AG138" s="1">
        <v>80.77</v>
      </c>
      <c r="AH138" s="1">
        <v>30.2</v>
      </c>
      <c r="AI138" s="26">
        <v>0</v>
      </c>
      <c r="AJ138" s="23">
        <v>0</v>
      </c>
      <c r="AK138" s="15">
        <f t="shared" si="137"/>
        <v>110.97</v>
      </c>
      <c r="AL138" s="26">
        <f>103.4+5.62</f>
        <v>109.02000000000001</v>
      </c>
      <c r="AM138" s="26">
        <f t="shared" si="133"/>
        <v>33.5975</v>
      </c>
      <c r="AN138" s="26">
        <f t="shared" si="128"/>
        <v>0</v>
      </c>
      <c r="AO138" s="23">
        <v>0</v>
      </c>
      <c r="AP138" s="15">
        <f t="shared" si="138"/>
        <v>142.6175</v>
      </c>
      <c r="AQ138" s="26">
        <v>132.48781315774255</v>
      </c>
      <c r="AR138" s="26">
        <f t="shared" si="134"/>
        <v>37.37721875</v>
      </c>
      <c r="AS138" s="26">
        <f t="shared" si="121"/>
        <v>0</v>
      </c>
      <c r="AT138" s="23">
        <v>0</v>
      </c>
      <c r="AU138" s="15">
        <f t="shared" si="139"/>
        <v>169.86503190774255</v>
      </c>
      <c r="AV138" s="26">
        <v>169.75842007080172</v>
      </c>
      <c r="AW138" s="26">
        <f t="shared" si="135"/>
        <v>41.582155859375</v>
      </c>
      <c r="AX138" s="26">
        <f t="shared" si="129"/>
        <v>0</v>
      </c>
      <c r="AY138" s="26"/>
      <c r="AZ138" s="15">
        <f t="shared" si="146"/>
        <v>211.34057593017673</v>
      </c>
      <c r="BA138" s="26">
        <v>217.51375087324902</v>
      </c>
      <c r="BB138" s="26">
        <f t="shared" si="136"/>
        <v>46.26014839355469</v>
      </c>
      <c r="BC138" s="26">
        <f t="shared" si="131"/>
        <v>0</v>
      </c>
      <c r="BD138" s="23">
        <v>0</v>
      </c>
      <c r="BE138" s="15">
        <f t="shared" si="140"/>
        <v>263.7738992668037</v>
      </c>
      <c r="BF138" s="26">
        <v>278.70329966087786</v>
      </c>
      <c r="BG138" s="26">
        <f t="shared" si="123"/>
        <v>51.464415087829586</v>
      </c>
      <c r="BH138" s="26">
        <f t="shared" si="124"/>
        <v>0</v>
      </c>
      <c r="BI138" s="23">
        <v>0</v>
      </c>
      <c r="BJ138" s="15">
        <f t="shared" si="141"/>
        <v>330.16771474870745</v>
      </c>
      <c r="BK138" s="26">
        <v>357.1062929585756</v>
      </c>
      <c r="BL138" s="26">
        <f t="shared" si="125"/>
        <v>57.254161785210414</v>
      </c>
      <c r="BM138" s="26">
        <f t="shared" si="132"/>
        <v>0</v>
      </c>
      <c r="BN138" s="26">
        <f t="shared" si="126"/>
        <v>0</v>
      </c>
      <c r="BO138" s="15">
        <f t="shared" si="142"/>
        <v>414.360454743786</v>
      </c>
      <c r="BP138" s="20">
        <v>0.28131347347913477</v>
      </c>
      <c r="BQ138" s="18">
        <v>0.1125</v>
      </c>
    </row>
    <row r="139" spans="1:69" s="19" customFormat="1" ht="15">
      <c r="A139" s="21">
        <v>2802</v>
      </c>
      <c r="B139" s="2" t="s">
        <v>98</v>
      </c>
      <c r="C139" s="40">
        <v>0</v>
      </c>
      <c r="D139" s="40">
        <v>0</v>
      </c>
      <c r="E139" s="40">
        <v>0</v>
      </c>
      <c r="F139" s="23">
        <v>0</v>
      </c>
      <c r="G139" s="15">
        <f t="shared" si="127"/>
        <v>0</v>
      </c>
      <c r="H139" s="26">
        <v>0</v>
      </c>
      <c r="I139" s="26">
        <v>0</v>
      </c>
      <c r="J139" s="26">
        <v>0</v>
      </c>
      <c r="K139" s="23">
        <v>0</v>
      </c>
      <c r="L139" s="15">
        <f t="shared" si="118"/>
        <v>0</v>
      </c>
      <c r="M139" s="26">
        <v>0</v>
      </c>
      <c r="N139" s="26">
        <v>0</v>
      </c>
      <c r="O139" s="26">
        <v>0</v>
      </c>
      <c r="P139" s="23">
        <v>0</v>
      </c>
      <c r="Q139" s="25">
        <f t="shared" si="147"/>
        <v>0</v>
      </c>
      <c r="R139" s="26">
        <v>0</v>
      </c>
      <c r="S139" s="26">
        <v>0</v>
      </c>
      <c r="T139" s="26">
        <v>0</v>
      </c>
      <c r="U139" s="23">
        <v>0</v>
      </c>
      <c r="V139" s="15">
        <f t="shared" si="143"/>
        <v>0</v>
      </c>
      <c r="W139" s="26">
        <v>0</v>
      </c>
      <c r="X139" s="26">
        <v>0</v>
      </c>
      <c r="Y139" s="26">
        <v>0</v>
      </c>
      <c r="Z139" s="23">
        <v>0</v>
      </c>
      <c r="AA139" s="15">
        <f t="shared" si="144"/>
        <v>0</v>
      </c>
      <c r="AB139" s="26">
        <v>0</v>
      </c>
      <c r="AC139" s="26">
        <v>0</v>
      </c>
      <c r="AD139" s="26">
        <v>0</v>
      </c>
      <c r="AE139" s="23">
        <v>0</v>
      </c>
      <c r="AF139" s="15">
        <f t="shared" si="145"/>
        <v>0</v>
      </c>
      <c r="AG139" s="26">
        <v>0</v>
      </c>
      <c r="AH139" s="26">
        <v>0</v>
      </c>
      <c r="AI139" s="26">
        <v>0</v>
      </c>
      <c r="AJ139" s="23">
        <v>0</v>
      </c>
      <c r="AK139" s="15">
        <f t="shared" si="137"/>
        <v>0</v>
      </c>
      <c r="AL139" s="26">
        <f t="shared" si="133"/>
        <v>0</v>
      </c>
      <c r="AM139" s="26">
        <f t="shared" si="133"/>
        <v>0</v>
      </c>
      <c r="AN139" s="26">
        <f t="shared" si="128"/>
        <v>0</v>
      </c>
      <c r="AO139" s="23">
        <v>0</v>
      </c>
      <c r="AP139" s="15">
        <f t="shared" si="138"/>
        <v>0</v>
      </c>
      <c r="AQ139" s="26">
        <f t="shared" si="134"/>
        <v>0</v>
      </c>
      <c r="AR139" s="26">
        <f t="shared" si="134"/>
        <v>0</v>
      </c>
      <c r="AS139" s="26">
        <f t="shared" si="121"/>
        <v>0</v>
      </c>
      <c r="AT139" s="23">
        <v>0</v>
      </c>
      <c r="AU139" s="15">
        <f t="shared" si="139"/>
        <v>0</v>
      </c>
      <c r="AV139" s="26">
        <f t="shared" si="135"/>
        <v>0</v>
      </c>
      <c r="AW139" s="26">
        <f t="shared" si="135"/>
        <v>0</v>
      </c>
      <c r="AX139" s="26">
        <f t="shared" si="129"/>
        <v>0</v>
      </c>
      <c r="AY139" s="26"/>
      <c r="AZ139" s="15">
        <f t="shared" si="146"/>
        <v>0</v>
      </c>
      <c r="BA139" s="26">
        <f t="shared" si="136"/>
        <v>0</v>
      </c>
      <c r="BB139" s="26">
        <f t="shared" si="136"/>
        <v>0</v>
      </c>
      <c r="BC139" s="26">
        <f t="shared" si="131"/>
        <v>0</v>
      </c>
      <c r="BD139" s="23">
        <v>0</v>
      </c>
      <c r="BE139" s="15">
        <f t="shared" si="140"/>
        <v>0</v>
      </c>
      <c r="BF139" s="26">
        <f t="shared" si="123"/>
        <v>0</v>
      </c>
      <c r="BG139" s="26">
        <f t="shared" si="123"/>
        <v>0</v>
      </c>
      <c r="BH139" s="26">
        <f t="shared" si="124"/>
        <v>0</v>
      </c>
      <c r="BI139" s="23">
        <v>0</v>
      </c>
      <c r="BJ139" s="15">
        <f t="shared" si="141"/>
        <v>0</v>
      </c>
      <c r="BK139" s="26">
        <f t="shared" si="125"/>
        <v>0</v>
      </c>
      <c r="BL139" s="26">
        <f t="shared" si="125"/>
        <v>0</v>
      </c>
      <c r="BM139" s="26">
        <f t="shared" si="132"/>
        <v>0</v>
      </c>
      <c r="BN139" s="26">
        <f t="shared" si="126"/>
        <v>0</v>
      </c>
      <c r="BO139" s="15">
        <f t="shared" si="142"/>
        <v>0</v>
      </c>
      <c r="BP139" s="20"/>
      <c r="BQ139" s="18"/>
    </row>
    <row r="140" spans="1:69" s="19" customFormat="1" ht="15">
      <c r="A140" s="21">
        <v>2803</v>
      </c>
      <c r="B140" s="2" t="s">
        <v>99</v>
      </c>
      <c r="C140" s="40">
        <v>0</v>
      </c>
      <c r="D140" s="40">
        <v>0</v>
      </c>
      <c r="E140" s="40">
        <v>0</v>
      </c>
      <c r="F140" s="23">
        <v>0</v>
      </c>
      <c r="G140" s="15">
        <f t="shared" si="127"/>
        <v>0</v>
      </c>
      <c r="H140" s="26">
        <v>0</v>
      </c>
      <c r="I140" s="26">
        <v>0</v>
      </c>
      <c r="J140" s="26">
        <v>0</v>
      </c>
      <c r="K140" s="23">
        <v>0</v>
      </c>
      <c r="L140" s="15">
        <f t="shared" si="118"/>
        <v>0</v>
      </c>
      <c r="M140" s="26">
        <v>0</v>
      </c>
      <c r="N140" s="26">
        <v>0</v>
      </c>
      <c r="O140" s="26">
        <v>0</v>
      </c>
      <c r="P140" s="23">
        <v>0</v>
      </c>
      <c r="Q140" s="25">
        <f t="shared" si="147"/>
        <v>0</v>
      </c>
      <c r="R140" s="26">
        <v>0</v>
      </c>
      <c r="S140" s="26">
        <v>0</v>
      </c>
      <c r="T140" s="26">
        <v>0</v>
      </c>
      <c r="U140" s="23">
        <v>0</v>
      </c>
      <c r="V140" s="15">
        <f t="shared" si="143"/>
        <v>0</v>
      </c>
      <c r="W140" s="26">
        <v>0</v>
      </c>
      <c r="X140" s="26">
        <v>0</v>
      </c>
      <c r="Y140" s="26">
        <v>0</v>
      </c>
      <c r="Z140" s="23">
        <v>0</v>
      </c>
      <c r="AA140" s="15">
        <f t="shared" si="144"/>
        <v>0</v>
      </c>
      <c r="AB140" s="26">
        <v>0</v>
      </c>
      <c r="AC140" s="26">
        <v>0</v>
      </c>
      <c r="AD140" s="26">
        <v>0</v>
      </c>
      <c r="AE140" s="23">
        <v>0</v>
      </c>
      <c r="AF140" s="15">
        <f t="shared" si="145"/>
        <v>0</v>
      </c>
      <c r="AG140" s="26">
        <v>0</v>
      </c>
      <c r="AH140" s="26">
        <v>0</v>
      </c>
      <c r="AI140" s="26">
        <v>0</v>
      </c>
      <c r="AJ140" s="23">
        <v>0</v>
      </c>
      <c r="AK140" s="15">
        <f t="shared" si="137"/>
        <v>0</v>
      </c>
      <c r="AL140" s="26">
        <f t="shared" si="133"/>
        <v>0</v>
      </c>
      <c r="AM140" s="26">
        <f t="shared" si="133"/>
        <v>0</v>
      </c>
      <c r="AN140" s="26">
        <f t="shared" si="128"/>
        <v>0</v>
      </c>
      <c r="AO140" s="23">
        <v>0</v>
      </c>
      <c r="AP140" s="15">
        <f t="shared" si="138"/>
        <v>0</v>
      </c>
      <c r="AQ140" s="26">
        <f t="shared" si="134"/>
        <v>0</v>
      </c>
      <c r="AR140" s="26">
        <f t="shared" si="134"/>
        <v>0</v>
      </c>
      <c r="AS140" s="26">
        <f t="shared" si="121"/>
        <v>0</v>
      </c>
      <c r="AT140" s="23">
        <v>0</v>
      </c>
      <c r="AU140" s="15">
        <f t="shared" si="139"/>
        <v>0</v>
      </c>
      <c r="AV140" s="26">
        <f t="shared" si="135"/>
        <v>0</v>
      </c>
      <c r="AW140" s="26">
        <f t="shared" si="135"/>
        <v>0</v>
      </c>
      <c r="AX140" s="26">
        <f t="shared" si="129"/>
        <v>0</v>
      </c>
      <c r="AY140" s="26"/>
      <c r="AZ140" s="15">
        <f t="shared" si="146"/>
        <v>0</v>
      </c>
      <c r="BA140" s="26">
        <f t="shared" si="136"/>
        <v>0</v>
      </c>
      <c r="BB140" s="26">
        <f t="shared" si="136"/>
        <v>0</v>
      </c>
      <c r="BC140" s="26">
        <f t="shared" si="131"/>
        <v>0</v>
      </c>
      <c r="BD140" s="23">
        <v>0</v>
      </c>
      <c r="BE140" s="15">
        <f t="shared" si="140"/>
        <v>0</v>
      </c>
      <c r="BF140" s="26">
        <f t="shared" si="123"/>
        <v>0</v>
      </c>
      <c r="BG140" s="26">
        <f t="shared" si="123"/>
        <v>0</v>
      </c>
      <c r="BH140" s="26">
        <f t="shared" si="124"/>
        <v>0</v>
      </c>
      <c r="BI140" s="23">
        <v>0</v>
      </c>
      <c r="BJ140" s="15">
        <f t="shared" si="141"/>
        <v>0</v>
      </c>
      <c r="BK140" s="26">
        <f t="shared" si="125"/>
        <v>0</v>
      </c>
      <c r="BL140" s="26">
        <f t="shared" si="125"/>
        <v>0</v>
      </c>
      <c r="BM140" s="26">
        <f t="shared" si="132"/>
        <v>0</v>
      </c>
      <c r="BN140" s="26">
        <f t="shared" si="126"/>
        <v>0</v>
      </c>
      <c r="BO140" s="15">
        <f t="shared" si="142"/>
        <v>0</v>
      </c>
      <c r="BP140" s="20"/>
      <c r="BQ140" s="18"/>
    </row>
    <row r="141" spans="1:69" s="19" customFormat="1" ht="45">
      <c r="A141" s="21">
        <v>2810</v>
      </c>
      <c r="B141" s="2" t="s">
        <v>143</v>
      </c>
      <c r="C141" s="40">
        <v>0</v>
      </c>
      <c r="D141" s="31">
        <v>0.82</v>
      </c>
      <c r="E141" s="40">
        <v>0</v>
      </c>
      <c r="F141" s="23">
        <v>0</v>
      </c>
      <c r="G141" s="15">
        <f t="shared" si="127"/>
        <v>0.82</v>
      </c>
      <c r="H141" s="26">
        <v>0</v>
      </c>
      <c r="I141" s="26">
        <v>0.58</v>
      </c>
      <c r="J141" s="26">
        <v>0</v>
      </c>
      <c r="K141" s="23">
        <v>0</v>
      </c>
      <c r="L141" s="15">
        <f t="shared" si="118"/>
        <v>0.58</v>
      </c>
      <c r="M141" s="26">
        <v>0</v>
      </c>
      <c r="N141" s="26">
        <v>0.45</v>
      </c>
      <c r="O141" s="26">
        <v>0</v>
      </c>
      <c r="P141" s="23">
        <v>0</v>
      </c>
      <c r="Q141" s="25">
        <f t="shared" si="147"/>
        <v>0.45</v>
      </c>
      <c r="R141" s="26">
        <v>0</v>
      </c>
      <c r="S141" s="26">
        <v>0.85</v>
      </c>
      <c r="T141" s="26">
        <v>0</v>
      </c>
      <c r="U141" s="23">
        <v>0</v>
      </c>
      <c r="V141" s="15">
        <f t="shared" si="143"/>
        <v>0.85</v>
      </c>
      <c r="W141" s="26">
        <v>0</v>
      </c>
      <c r="X141" s="26">
        <v>0.61</v>
      </c>
      <c r="Y141" s="26">
        <v>0</v>
      </c>
      <c r="Z141" s="23">
        <v>0</v>
      </c>
      <c r="AA141" s="15">
        <f t="shared" si="144"/>
        <v>0.61</v>
      </c>
      <c r="AB141" s="26">
        <v>0</v>
      </c>
      <c r="AC141" s="1">
        <v>1</v>
      </c>
      <c r="AD141" s="26">
        <v>0</v>
      </c>
      <c r="AE141" s="23">
        <v>0</v>
      </c>
      <c r="AF141" s="15">
        <f t="shared" si="145"/>
        <v>1</v>
      </c>
      <c r="AG141" s="26">
        <v>0</v>
      </c>
      <c r="AH141" s="1">
        <v>1.08</v>
      </c>
      <c r="AI141" s="26">
        <v>0</v>
      </c>
      <c r="AJ141" s="23">
        <v>0</v>
      </c>
      <c r="AK141" s="15">
        <f t="shared" si="137"/>
        <v>1.08</v>
      </c>
      <c r="AL141" s="26">
        <f t="shared" si="133"/>
        <v>0</v>
      </c>
      <c r="AM141" s="26">
        <f t="shared" si="133"/>
        <v>1.08</v>
      </c>
      <c r="AN141" s="26">
        <f t="shared" si="128"/>
        <v>0</v>
      </c>
      <c r="AO141" s="23">
        <v>0</v>
      </c>
      <c r="AP141" s="15">
        <f t="shared" si="138"/>
        <v>1.08</v>
      </c>
      <c r="AQ141" s="26">
        <f t="shared" si="134"/>
        <v>0</v>
      </c>
      <c r="AR141" s="26">
        <f t="shared" si="134"/>
        <v>1.08</v>
      </c>
      <c r="AS141" s="26">
        <f t="shared" si="121"/>
        <v>0</v>
      </c>
      <c r="AT141" s="23">
        <v>0</v>
      </c>
      <c r="AU141" s="15">
        <f t="shared" si="139"/>
        <v>1.08</v>
      </c>
      <c r="AV141" s="26">
        <f t="shared" si="135"/>
        <v>0</v>
      </c>
      <c r="AW141" s="26">
        <f t="shared" si="135"/>
        <v>1.08</v>
      </c>
      <c r="AX141" s="26">
        <f t="shared" si="129"/>
        <v>0</v>
      </c>
      <c r="AY141" s="26"/>
      <c r="AZ141" s="15">
        <f t="shared" si="146"/>
        <v>1.08</v>
      </c>
      <c r="BA141" s="26">
        <f t="shared" si="136"/>
        <v>0</v>
      </c>
      <c r="BB141" s="26">
        <f t="shared" si="136"/>
        <v>1.08</v>
      </c>
      <c r="BC141" s="26">
        <f t="shared" si="131"/>
        <v>0</v>
      </c>
      <c r="BD141" s="23">
        <v>0</v>
      </c>
      <c r="BE141" s="15">
        <f t="shared" si="140"/>
        <v>1.08</v>
      </c>
      <c r="BF141" s="26">
        <f t="shared" si="123"/>
        <v>0</v>
      </c>
      <c r="BG141" s="26">
        <f t="shared" si="123"/>
        <v>1.08</v>
      </c>
      <c r="BH141" s="26">
        <f t="shared" si="124"/>
        <v>0</v>
      </c>
      <c r="BI141" s="23">
        <v>0</v>
      </c>
      <c r="BJ141" s="15">
        <f t="shared" si="141"/>
        <v>1.08</v>
      </c>
      <c r="BK141" s="26">
        <f t="shared" si="125"/>
        <v>0</v>
      </c>
      <c r="BL141" s="26">
        <f t="shared" si="125"/>
        <v>1.08</v>
      </c>
      <c r="BM141" s="26">
        <f t="shared" si="132"/>
        <v>0</v>
      </c>
      <c r="BN141" s="26">
        <f t="shared" si="126"/>
        <v>0</v>
      </c>
      <c r="BO141" s="15">
        <f t="shared" si="142"/>
        <v>1.08</v>
      </c>
      <c r="BP141" s="20"/>
      <c r="BQ141" s="18"/>
    </row>
    <row r="142" spans="1:69" s="19" customFormat="1" ht="15">
      <c r="A142" s="21">
        <v>2851</v>
      </c>
      <c r="B142" s="2" t="s">
        <v>200</v>
      </c>
      <c r="C142" s="31">
        <v>3.45</v>
      </c>
      <c r="D142" s="31">
        <v>8.66</v>
      </c>
      <c r="E142" s="40">
        <v>0</v>
      </c>
      <c r="F142" s="23">
        <v>0.04</v>
      </c>
      <c r="G142" s="15">
        <f t="shared" si="127"/>
        <v>12.11</v>
      </c>
      <c r="H142" s="26">
        <v>4.24</v>
      </c>
      <c r="I142" s="26">
        <f>10.04+J142</f>
        <v>10.409999999999998</v>
      </c>
      <c r="J142" s="26">
        <v>0.37</v>
      </c>
      <c r="K142" s="23">
        <v>0</v>
      </c>
      <c r="L142" s="15">
        <f t="shared" si="118"/>
        <v>14.649999999999999</v>
      </c>
      <c r="M142" s="26">
        <v>6.89</v>
      </c>
      <c r="N142" s="26">
        <v>10.3</v>
      </c>
      <c r="O142" s="26">
        <v>0</v>
      </c>
      <c r="P142" s="23">
        <v>0.04</v>
      </c>
      <c r="Q142" s="25">
        <f t="shared" si="147"/>
        <v>17.19</v>
      </c>
      <c r="R142" s="26">
        <v>6.24</v>
      </c>
      <c r="S142" s="26">
        <v>9.9</v>
      </c>
      <c r="T142" s="26">
        <v>0</v>
      </c>
      <c r="U142" s="23">
        <v>0</v>
      </c>
      <c r="V142" s="15">
        <f t="shared" si="143"/>
        <v>16.14</v>
      </c>
      <c r="W142" s="26">
        <v>6.7</v>
      </c>
      <c r="X142" s="26">
        <f>8.91+Y142</f>
        <v>9.85</v>
      </c>
      <c r="Y142" s="26">
        <v>0.94</v>
      </c>
      <c r="Z142" s="23">
        <v>1</v>
      </c>
      <c r="AA142" s="15">
        <f t="shared" si="144"/>
        <v>16.55</v>
      </c>
      <c r="AB142" s="1">
        <v>7.36</v>
      </c>
      <c r="AC142" s="1">
        <v>7</v>
      </c>
      <c r="AD142" s="26">
        <v>0</v>
      </c>
      <c r="AE142" s="23">
        <v>0.11</v>
      </c>
      <c r="AF142" s="15">
        <f t="shared" si="145"/>
        <v>14.36</v>
      </c>
      <c r="AG142" s="1">
        <v>7.44</v>
      </c>
      <c r="AH142" s="1">
        <v>9.75</v>
      </c>
      <c r="AI142" s="26">
        <v>0.58</v>
      </c>
      <c r="AJ142" s="23">
        <v>0.59</v>
      </c>
      <c r="AK142" s="15">
        <f t="shared" si="137"/>
        <v>17.19</v>
      </c>
      <c r="AL142" s="26">
        <f t="shared" si="133"/>
        <v>8.39472634383189</v>
      </c>
      <c r="AM142" s="26">
        <f t="shared" si="133"/>
        <v>10.846875</v>
      </c>
      <c r="AN142" s="26">
        <f t="shared" si="128"/>
        <v>0.64525</v>
      </c>
      <c r="AO142" s="23">
        <v>0</v>
      </c>
      <c r="AP142" s="15">
        <f t="shared" si="138"/>
        <v>19.24160134383189</v>
      </c>
      <c r="AQ142" s="26">
        <f t="shared" si="134"/>
        <v>9.471966449976494</v>
      </c>
      <c r="AR142" s="26">
        <f t="shared" si="134"/>
        <v>12.0671484375</v>
      </c>
      <c r="AS142" s="26">
        <f t="shared" si="121"/>
        <v>0.717840625</v>
      </c>
      <c r="AT142" s="23">
        <v>0</v>
      </c>
      <c r="AU142" s="15">
        <f t="shared" si="139"/>
        <v>21.539114887476494</v>
      </c>
      <c r="AV142" s="26">
        <f t="shared" si="135"/>
        <v>10.687441705041596</v>
      </c>
      <c r="AW142" s="26">
        <f t="shared" si="135"/>
        <v>13.42470263671875</v>
      </c>
      <c r="AX142" s="26">
        <f t="shared" si="129"/>
        <v>0.7985976953125</v>
      </c>
      <c r="AY142" s="26"/>
      <c r="AZ142" s="15">
        <f t="shared" si="146"/>
        <v>24.11214434176035</v>
      </c>
      <c r="BA142" s="26">
        <f t="shared" si="136"/>
        <v>12.058890917940898</v>
      </c>
      <c r="BB142" s="26">
        <f t="shared" si="136"/>
        <v>14.93498168334961</v>
      </c>
      <c r="BC142" s="26">
        <f t="shared" si="131"/>
        <v>0.8884399360351563</v>
      </c>
      <c r="BD142" s="23">
        <v>0</v>
      </c>
      <c r="BE142" s="15">
        <f t="shared" si="140"/>
        <v>26.99387260129051</v>
      </c>
      <c r="BF142" s="26">
        <f t="shared" si="123"/>
        <v>13.606329202450748</v>
      </c>
      <c r="BG142" s="26">
        <f t="shared" si="123"/>
        <v>16.61516712272644</v>
      </c>
      <c r="BH142" s="26">
        <f t="shared" si="124"/>
        <v>0.9883894288391113</v>
      </c>
      <c r="BI142" s="23">
        <v>0</v>
      </c>
      <c r="BJ142" s="15">
        <f t="shared" si="141"/>
        <v>30.22149632517719</v>
      </c>
      <c r="BK142" s="26">
        <f t="shared" si="125"/>
        <v>15.35234008046538</v>
      </c>
      <c r="BL142" s="26">
        <f t="shared" si="125"/>
        <v>18.484373424033166</v>
      </c>
      <c r="BM142" s="26">
        <f t="shared" si="132"/>
        <v>1.0995832395835112</v>
      </c>
      <c r="BN142" s="26">
        <f t="shared" si="126"/>
        <v>0</v>
      </c>
      <c r="BO142" s="15">
        <f t="shared" si="142"/>
        <v>33.83671350449855</v>
      </c>
      <c r="BP142" s="20">
        <v>0.12832343331073773</v>
      </c>
      <c r="BQ142" s="18">
        <v>0.1125</v>
      </c>
    </row>
    <row r="143" spans="1:69" s="19" customFormat="1" ht="15">
      <c r="A143" s="21">
        <v>2852</v>
      </c>
      <c r="B143" s="2" t="s">
        <v>201</v>
      </c>
      <c r="C143" s="40">
        <v>0</v>
      </c>
      <c r="D143" s="40">
        <v>4.36</v>
      </c>
      <c r="E143" s="40">
        <v>0</v>
      </c>
      <c r="F143" s="23">
        <v>0</v>
      </c>
      <c r="G143" s="15">
        <f t="shared" si="127"/>
        <v>4.36</v>
      </c>
      <c r="H143" s="26">
        <v>0</v>
      </c>
      <c r="I143" s="26">
        <v>6.24</v>
      </c>
      <c r="J143" s="26">
        <v>0</v>
      </c>
      <c r="K143" s="23">
        <v>0</v>
      </c>
      <c r="L143" s="15">
        <f t="shared" si="118"/>
        <v>6.24</v>
      </c>
      <c r="M143" s="26">
        <v>0</v>
      </c>
      <c r="N143" s="26">
        <v>2.82</v>
      </c>
      <c r="O143" s="26">
        <v>0</v>
      </c>
      <c r="P143" s="23">
        <v>0</v>
      </c>
      <c r="Q143" s="25">
        <f t="shared" si="147"/>
        <v>2.82</v>
      </c>
      <c r="R143" s="26">
        <v>0</v>
      </c>
      <c r="S143" s="26">
        <v>2.19</v>
      </c>
      <c r="T143" s="26">
        <v>0</v>
      </c>
      <c r="U143" s="23">
        <v>0</v>
      </c>
      <c r="V143" s="15">
        <f t="shared" si="143"/>
        <v>2.19</v>
      </c>
      <c r="W143" s="26">
        <v>0</v>
      </c>
      <c r="X143" s="26">
        <v>27.52</v>
      </c>
      <c r="Y143" s="26">
        <v>0</v>
      </c>
      <c r="Z143" s="23">
        <v>0</v>
      </c>
      <c r="AA143" s="15">
        <f t="shared" si="144"/>
        <v>27.52</v>
      </c>
      <c r="AB143" s="1">
        <v>3.4</v>
      </c>
      <c r="AC143" s="1">
        <v>4.05</v>
      </c>
      <c r="AD143" s="26">
        <v>0</v>
      </c>
      <c r="AE143" s="23"/>
      <c r="AF143" s="15">
        <f t="shared" si="145"/>
        <v>7.449999999999999</v>
      </c>
      <c r="AG143" s="1">
        <v>0.4</v>
      </c>
      <c r="AH143" s="1">
        <v>6.69</v>
      </c>
      <c r="AI143" s="26">
        <v>0.12</v>
      </c>
      <c r="AJ143" s="23">
        <v>0.12</v>
      </c>
      <c r="AK143" s="15">
        <f t="shared" si="137"/>
        <v>7.090000000000001</v>
      </c>
      <c r="AL143" s="26">
        <f t="shared" si="133"/>
        <v>0.4</v>
      </c>
      <c r="AM143" s="26">
        <f t="shared" si="133"/>
        <v>6.69</v>
      </c>
      <c r="AN143" s="26">
        <f t="shared" si="128"/>
        <v>0.12</v>
      </c>
      <c r="AO143" s="23">
        <v>0</v>
      </c>
      <c r="AP143" s="15">
        <f t="shared" si="138"/>
        <v>7.090000000000001</v>
      </c>
      <c r="AQ143" s="26">
        <f t="shared" si="134"/>
        <v>0.4</v>
      </c>
      <c r="AR143" s="26">
        <f t="shared" si="134"/>
        <v>6.69</v>
      </c>
      <c r="AS143" s="26">
        <f t="shared" si="121"/>
        <v>0.12</v>
      </c>
      <c r="AT143" s="23">
        <v>0</v>
      </c>
      <c r="AU143" s="15">
        <f t="shared" si="139"/>
        <v>7.090000000000001</v>
      </c>
      <c r="AV143" s="26">
        <f t="shared" si="135"/>
        <v>0.4</v>
      </c>
      <c r="AW143" s="26">
        <f t="shared" si="135"/>
        <v>6.69</v>
      </c>
      <c r="AX143" s="26">
        <f t="shared" si="129"/>
        <v>0.12</v>
      </c>
      <c r="AY143" s="26"/>
      <c r="AZ143" s="15">
        <f t="shared" si="146"/>
        <v>7.090000000000001</v>
      </c>
      <c r="BA143" s="26">
        <f t="shared" si="136"/>
        <v>0.4</v>
      </c>
      <c r="BB143" s="26">
        <f t="shared" si="136"/>
        <v>6.69</v>
      </c>
      <c r="BC143" s="26">
        <f t="shared" si="131"/>
        <v>0.12</v>
      </c>
      <c r="BD143" s="23">
        <v>0</v>
      </c>
      <c r="BE143" s="15">
        <f t="shared" si="140"/>
        <v>7.090000000000001</v>
      </c>
      <c r="BF143" s="26">
        <f t="shared" si="123"/>
        <v>0.4</v>
      </c>
      <c r="BG143" s="26">
        <f t="shared" si="123"/>
        <v>6.69</v>
      </c>
      <c r="BH143" s="26">
        <f t="shared" si="124"/>
        <v>0.12</v>
      </c>
      <c r="BI143" s="23">
        <v>0</v>
      </c>
      <c r="BJ143" s="15">
        <f t="shared" si="141"/>
        <v>7.090000000000001</v>
      </c>
      <c r="BK143" s="26">
        <f t="shared" si="125"/>
        <v>0.4</v>
      </c>
      <c r="BL143" s="26">
        <f t="shared" si="125"/>
        <v>6.69</v>
      </c>
      <c r="BM143" s="26">
        <f t="shared" si="132"/>
        <v>0.12</v>
      </c>
      <c r="BN143" s="26">
        <f t="shared" si="126"/>
        <v>0</v>
      </c>
      <c r="BO143" s="15">
        <f t="shared" si="142"/>
        <v>7.090000000000001</v>
      </c>
      <c r="BP143" s="20"/>
      <c r="BQ143" s="18"/>
    </row>
    <row r="144" spans="1:69" s="19" customFormat="1" ht="30">
      <c r="A144" s="21">
        <v>2853</v>
      </c>
      <c r="B144" s="2" t="s">
        <v>202</v>
      </c>
      <c r="C144" s="44">
        <v>1.01</v>
      </c>
      <c r="D144" s="44">
        <v>1.5</v>
      </c>
      <c r="E144" s="44">
        <v>0</v>
      </c>
      <c r="F144" s="23">
        <v>0</v>
      </c>
      <c r="G144" s="15">
        <f t="shared" si="127"/>
        <v>2.51</v>
      </c>
      <c r="H144" s="26">
        <v>1.03</v>
      </c>
      <c r="I144" s="26">
        <v>1.76</v>
      </c>
      <c r="J144" s="26">
        <v>0</v>
      </c>
      <c r="K144" s="23">
        <v>0</v>
      </c>
      <c r="L144" s="15">
        <f t="shared" si="118"/>
        <v>2.79</v>
      </c>
      <c r="M144" s="26">
        <v>2.38</v>
      </c>
      <c r="N144" s="26">
        <v>1.1</v>
      </c>
      <c r="O144" s="26">
        <v>0</v>
      </c>
      <c r="P144" s="23">
        <v>0</v>
      </c>
      <c r="Q144" s="25">
        <f t="shared" si="147"/>
        <v>3.48</v>
      </c>
      <c r="R144" s="26">
        <v>1.59</v>
      </c>
      <c r="S144" s="26">
        <v>0.9</v>
      </c>
      <c r="T144" s="26">
        <v>0</v>
      </c>
      <c r="U144" s="23">
        <v>0</v>
      </c>
      <c r="V144" s="15">
        <f t="shared" si="143"/>
        <v>2.49</v>
      </c>
      <c r="W144" s="26">
        <v>1.69</v>
      </c>
      <c r="X144" s="26">
        <v>0.84</v>
      </c>
      <c r="Y144" s="26">
        <v>0</v>
      </c>
      <c r="Z144" s="23">
        <v>0</v>
      </c>
      <c r="AA144" s="15">
        <f t="shared" si="144"/>
        <v>2.53</v>
      </c>
      <c r="AB144" s="1">
        <v>2.04</v>
      </c>
      <c r="AC144" s="1">
        <v>1.01</v>
      </c>
      <c r="AD144" s="26">
        <v>0</v>
      </c>
      <c r="AE144" s="23">
        <v>0</v>
      </c>
      <c r="AF144" s="15">
        <f t="shared" si="145"/>
        <v>3.05</v>
      </c>
      <c r="AG144" s="1">
        <v>2.28</v>
      </c>
      <c r="AH144" s="1">
        <v>1.6</v>
      </c>
      <c r="AI144" s="26">
        <v>0</v>
      </c>
      <c r="AJ144" s="23">
        <v>0</v>
      </c>
      <c r="AK144" s="15">
        <f t="shared" si="137"/>
        <v>3.88</v>
      </c>
      <c r="AL144" s="26">
        <f t="shared" si="133"/>
        <v>2.580543204465135</v>
      </c>
      <c r="AM144" s="26">
        <f t="shared" si="133"/>
        <v>1.78</v>
      </c>
      <c r="AN144" s="26">
        <f t="shared" si="128"/>
        <v>0</v>
      </c>
      <c r="AO144" s="23">
        <v>0</v>
      </c>
      <c r="AP144" s="15">
        <f t="shared" si="138"/>
        <v>4.360543204465135</v>
      </c>
      <c r="AQ144" s="26">
        <f t="shared" si="134"/>
        <v>2.9207031711013984</v>
      </c>
      <c r="AR144" s="26">
        <f t="shared" si="134"/>
        <v>1.98025</v>
      </c>
      <c r="AS144" s="26">
        <f t="shared" si="121"/>
        <v>0</v>
      </c>
      <c r="AT144" s="23">
        <v>0</v>
      </c>
      <c r="AU144" s="15">
        <f t="shared" si="139"/>
        <v>4.900953171101398</v>
      </c>
      <c r="AV144" s="26">
        <f t="shared" si="135"/>
        <v>3.305702070370827</v>
      </c>
      <c r="AW144" s="26">
        <f t="shared" si="135"/>
        <v>2.203028125</v>
      </c>
      <c r="AX144" s="26">
        <f t="shared" si="129"/>
        <v>0</v>
      </c>
      <c r="AY144" s="26"/>
      <c r="AZ144" s="15">
        <f t="shared" si="146"/>
        <v>5.508730195370827</v>
      </c>
      <c r="BA144" s="26">
        <f t="shared" si="136"/>
        <v>3.741450444597266</v>
      </c>
      <c r="BB144" s="26">
        <f t="shared" si="136"/>
        <v>2.4508687890625</v>
      </c>
      <c r="BC144" s="26">
        <f t="shared" si="131"/>
        <v>0</v>
      </c>
      <c r="BD144" s="23">
        <v>0</v>
      </c>
      <c r="BE144" s="15">
        <f t="shared" si="140"/>
        <v>6.1923192336597666</v>
      </c>
      <c r="BF144" s="26">
        <f t="shared" si="123"/>
        <v>4.23463794721427</v>
      </c>
      <c r="BG144" s="26">
        <f t="shared" si="123"/>
        <v>2.7265915278320314</v>
      </c>
      <c r="BH144" s="26">
        <f t="shared" si="124"/>
        <v>0</v>
      </c>
      <c r="BI144" s="23">
        <v>0</v>
      </c>
      <c r="BJ144" s="15">
        <f t="shared" si="141"/>
        <v>6.961229475046301</v>
      </c>
      <c r="BK144" s="26">
        <f t="shared" si="125"/>
        <v>4.79283604300613</v>
      </c>
      <c r="BL144" s="26">
        <f t="shared" si="125"/>
        <v>3.033333074713135</v>
      </c>
      <c r="BM144" s="26">
        <f t="shared" si="132"/>
        <v>0</v>
      </c>
      <c r="BN144" s="26">
        <f t="shared" si="126"/>
        <v>0</v>
      </c>
      <c r="BO144" s="15">
        <f t="shared" si="142"/>
        <v>7.826169117719265</v>
      </c>
      <c r="BP144" s="20">
        <v>0.13181719494084887</v>
      </c>
      <c r="BQ144" s="18">
        <v>0.1125</v>
      </c>
    </row>
    <row r="145" spans="1:69" s="19" customFormat="1" ht="15">
      <c r="A145" s="21">
        <v>2875</v>
      </c>
      <c r="B145" s="2" t="s">
        <v>100</v>
      </c>
      <c r="C145" s="40">
        <v>0</v>
      </c>
      <c r="D145" s="40">
        <v>0</v>
      </c>
      <c r="E145" s="40">
        <v>0</v>
      </c>
      <c r="F145" s="23">
        <v>0</v>
      </c>
      <c r="G145" s="15">
        <f t="shared" si="127"/>
        <v>0</v>
      </c>
      <c r="H145" s="26">
        <v>0</v>
      </c>
      <c r="I145" s="26">
        <v>0</v>
      </c>
      <c r="J145" s="26">
        <v>0</v>
      </c>
      <c r="K145" s="23">
        <v>0</v>
      </c>
      <c r="L145" s="15">
        <f t="shared" si="118"/>
        <v>0</v>
      </c>
      <c r="M145" s="26">
        <v>0</v>
      </c>
      <c r="N145" s="26">
        <v>0</v>
      </c>
      <c r="O145" s="26">
        <v>0</v>
      </c>
      <c r="P145" s="23">
        <v>0</v>
      </c>
      <c r="Q145" s="25">
        <f t="shared" si="147"/>
        <v>0</v>
      </c>
      <c r="R145" s="26">
        <v>0</v>
      </c>
      <c r="S145" s="26">
        <v>0</v>
      </c>
      <c r="T145" s="26">
        <v>0</v>
      </c>
      <c r="U145" s="23">
        <v>0</v>
      </c>
      <c r="V145" s="15">
        <f t="shared" si="143"/>
        <v>0</v>
      </c>
      <c r="W145" s="26">
        <v>0</v>
      </c>
      <c r="X145" s="26">
        <v>0</v>
      </c>
      <c r="Y145" s="26">
        <v>0</v>
      </c>
      <c r="Z145" s="23">
        <v>0</v>
      </c>
      <c r="AA145" s="15">
        <f t="shared" si="144"/>
        <v>0</v>
      </c>
      <c r="AB145" s="26">
        <v>0</v>
      </c>
      <c r="AC145" s="26">
        <v>0</v>
      </c>
      <c r="AD145" s="26">
        <v>0</v>
      </c>
      <c r="AE145" s="23">
        <v>0</v>
      </c>
      <c r="AF145" s="15">
        <f t="shared" si="145"/>
        <v>0</v>
      </c>
      <c r="AG145" s="26">
        <v>0</v>
      </c>
      <c r="AH145" s="26">
        <v>0</v>
      </c>
      <c r="AI145" s="26">
        <v>0</v>
      </c>
      <c r="AJ145" s="23">
        <v>0</v>
      </c>
      <c r="AK145" s="15">
        <f t="shared" si="137"/>
        <v>0</v>
      </c>
      <c r="AL145" s="26">
        <f t="shared" si="133"/>
        <v>0</v>
      </c>
      <c r="AM145" s="26">
        <f t="shared" si="133"/>
        <v>0</v>
      </c>
      <c r="AN145" s="26">
        <f t="shared" si="128"/>
        <v>0</v>
      </c>
      <c r="AO145" s="23">
        <v>0</v>
      </c>
      <c r="AP145" s="15">
        <f t="shared" si="138"/>
        <v>0</v>
      </c>
      <c r="AQ145" s="26">
        <f t="shared" si="134"/>
        <v>0</v>
      </c>
      <c r="AR145" s="26">
        <f t="shared" si="134"/>
        <v>0</v>
      </c>
      <c r="AS145" s="26">
        <f t="shared" si="121"/>
        <v>0</v>
      </c>
      <c r="AT145" s="23">
        <v>0</v>
      </c>
      <c r="AU145" s="15">
        <f t="shared" si="139"/>
        <v>0</v>
      </c>
      <c r="AV145" s="26">
        <f t="shared" si="135"/>
        <v>0</v>
      </c>
      <c r="AW145" s="26">
        <f t="shared" si="135"/>
        <v>0</v>
      </c>
      <c r="AX145" s="26">
        <f t="shared" si="129"/>
        <v>0</v>
      </c>
      <c r="AY145" s="26"/>
      <c r="AZ145" s="15">
        <f t="shared" si="146"/>
        <v>0</v>
      </c>
      <c r="BA145" s="26">
        <f t="shared" si="136"/>
        <v>0</v>
      </c>
      <c r="BB145" s="26">
        <f t="shared" si="136"/>
        <v>0</v>
      </c>
      <c r="BC145" s="26">
        <f t="shared" si="131"/>
        <v>0</v>
      </c>
      <c r="BD145" s="23">
        <v>0</v>
      </c>
      <c r="BE145" s="15">
        <f t="shared" si="140"/>
        <v>0</v>
      </c>
      <c r="BF145" s="26">
        <f t="shared" si="123"/>
        <v>0</v>
      </c>
      <c r="BG145" s="26">
        <f t="shared" si="123"/>
        <v>0</v>
      </c>
      <c r="BH145" s="26">
        <f t="shared" si="124"/>
        <v>0</v>
      </c>
      <c r="BI145" s="23">
        <v>0</v>
      </c>
      <c r="BJ145" s="15">
        <f t="shared" si="141"/>
        <v>0</v>
      </c>
      <c r="BK145" s="26">
        <f t="shared" si="125"/>
        <v>0</v>
      </c>
      <c r="BL145" s="26">
        <f t="shared" si="125"/>
        <v>0</v>
      </c>
      <c r="BM145" s="26">
        <f t="shared" si="132"/>
        <v>0</v>
      </c>
      <c r="BN145" s="26">
        <f t="shared" si="126"/>
        <v>0</v>
      </c>
      <c r="BO145" s="15">
        <f t="shared" si="142"/>
        <v>0</v>
      </c>
      <c r="BP145" s="20"/>
      <c r="BQ145" s="18"/>
    </row>
    <row r="146" spans="1:69" s="19" customFormat="1" ht="30">
      <c r="A146" s="21">
        <v>2885</v>
      </c>
      <c r="B146" s="2" t="s">
        <v>101</v>
      </c>
      <c r="C146" s="40">
        <v>0</v>
      </c>
      <c r="D146" s="40">
        <v>0</v>
      </c>
      <c r="E146" s="40">
        <v>0</v>
      </c>
      <c r="F146" s="23">
        <v>0</v>
      </c>
      <c r="G146" s="15">
        <f t="shared" si="127"/>
        <v>0</v>
      </c>
      <c r="H146" s="26">
        <v>0</v>
      </c>
      <c r="I146" s="26">
        <v>0</v>
      </c>
      <c r="J146" s="26">
        <v>0</v>
      </c>
      <c r="K146" s="23">
        <v>0</v>
      </c>
      <c r="L146" s="15">
        <f t="shared" si="118"/>
        <v>0</v>
      </c>
      <c r="M146" s="26">
        <v>0</v>
      </c>
      <c r="N146" s="26">
        <v>0</v>
      </c>
      <c r="O146" s="26">
        <v>0</v>
      </c>
      <c r="P146" s="23">
        <v>0</v>
      </c>
      <c r="Q146" s="25">
        <f t="shared" si="147"/>
        <v>0</v>
      </c>
      <c r="R146" s="26">
        <v>0</v>
      </c>
      <c r="S146" s="26">
        <v>0</v>
      </c>
      <c r="T146" s="26">
        <v>0</v>
      </c>
      <c r="U146" s="23">
        <v>0</v>
      </c>
      <c r="V146" s="15">
        <f t="shared" si="143"/>
        <v>0</v>
      </c>
      <c r="W146" s="26">
        <v>0</v>
      </c>
      <c r="X146" s="26">
        <v>0</v>
      </c>
      <c r="Y146" s="26">
        <v>0</v>
      </c>
      <c r="Z146" s="23">
        <v>0</v>
      </c>
      <c r="AA146" s="15">
        <f t="shared" si="144"/>
        <v>0</v>
      </c>
      <c r="AB146" s="26">
        <v>0</v>
      </c>
      <c r="AC146" s="26">
        <v>0</v>
      </c>
      <c r="AD146" s="26">
        <v>0</v>
      </c>
      <c r="AE146" s="23">
        <v>0</v>
      </c>
      <c r="AF146" s="15">
        <f t="shared" si="145"/>
        <v>0</v>
      </c>
      <c r="AG146" s="26">
        <v>0</v>
      </c>
      <c r="AH146" s="26">
        <v>0</v>
      </c>
      <c r="AI146" s="26">
        <v>0</v>
      </c>
      <c r="AJ146" s="23">
        <v>0</v>
      </c>
      <c r="AK146" s="15">
        <f t="shared" si="137"/>
        <v>0</v>
      </c>
      <c r="AL146" s="26">
        <f t="shared" si="133"/>
        <v>0</v>
      </c>
      <c r="AM146" s="26">
        <f t="shared" si="133"/>
        <v>0</v>
      </c>
      <c r="AN146" s="26">
        <f t="shared" si="128"/>
        <v>0</v>
      </c>
      <c r="AO146" s="23">
        <v>0</v>
      </c>
      <c r="AP146" s="15">
        <f t="shared" si="138"/>
        <v>0</v>
      </c>
      <c r="AQ146" s="26">
        <f t="shared" si="134"/>
        <v>0</v>
      </c>
      <c r="AR146" s="26">
        <f t="shared" si="134"/>
        <v>0</v>
      </c>
      <c r="AS146" s="26">
        <f t="shared" si="121"/>
        <v>0</v>
      </c>
      <c r="AT146" s="23">
        <v>0</v>
      </c>
      <c r="AU146" s="15">
        <f t="shared" si="139"/>
        <v>0</v>
      </c>
      <c r="AV146" s="26">
        <f t="shared" si="135"/>
        <v>0</v>
      </c>
      <c r="AW146" s="26">
        <f t="shared" si="135"/>
        <v>0</v>
      </c>
      <c r="AX146" s="26">
        <f t="shared" si="129"/>
        <v>0</v>
      </c>
      <c r="AY146" s="26"/>
      <c r="AZ146" s="15">
        <f t="shared" si="146"/>
        <v>0</v>
      </c>
      <c r="BA146" s="26">
        <f t="shared" si="136"/>
        <v>0</v>
      </c>
      <c r="BB146" s="26">
        <f t="shared" si="136"/>
        <v>0</v>
      </c>
      <c r="BC146" s="26">
        <f t="shared" si="131"/>
        <v>0</v>
      </c>
      <c r="BD146" s="23">
        <v>0</v>
      </c>
      <c r="BE146" s="15">
        <f t="shared" si="140"/>
        <v>0</v>
      </c>
      <c r="BF146" s="26">
        <f t="shared" si="123"/>
        <v>0</v>
      </c>
      <c r="BG146" s="26">
        <f t="shared" si="123"/>
        <v>0</v>
      </c>
      <c r="BH146" s="26">
        <f t="shared" si="124"/>
        <v>0</v>
      </c>
      <c r="BI146" s="23">
        <v>0</v>
      </c>
      <c r="BJ146" s="15">
        <f t="shared" si="141"/>
        <v>0</v>
      </c>
      <c r="BK146" s="26">
        <f t="shared" si="125"/>
        <v>0</v>
      </c>
      <c r="BL146" s="26">
        <f t="shared" si="125"/>
        <v>0</v>
      </c>
      <c r="BM146" s="26">
        <f t="shared" si="132"/>
        <v>0</v>
      </c>
      <c r="BN146" s="26">
        <f t="shared" si="126"/>
        <v>0</v>
      </c>
      <c r="BO146" s="15">
        <f t="shared" si="142"/>
        <v>0</v>
      </c>
      <c r="BP146" s="20"/>
      <c r="BQ146" s="18"/>
    </row>
    <row r="147" spans="1:69" s="19" customFormat="1" ht="60">
      <c r="A147" s="21">
        <v>3001</v>
      </c>
      <c r="B147" s="2" t="s">
        <v>102</v>
      </c>
      <c r="C147" s="40">
        <v>0</v>
      </c>
      <c r="D147" s="40">
        <v>0</v>
      </c>
      <c r="E147" s="40">
        <v>0</v>
      </c>
      <c r="F147" s="23">
        <v>0</v>
      </c>
      <c r="G147" s="15">
        <f t="shared" si="127"/>
        <v>0</v>
      </c>
      <c r="H147" s="26">
        <v>0</v>
      </c>
      <c r="I147" s="26">
        <v>0</v>
      </c>
      <c r="J147" s="26">
        <v>0</v>
      </c>
      <c r="K147" s="23">
        <v>0</v>
      </c>
      <c r="L147" s="15">
        <f t="shared" si="118"/>
        <v>0</v>
      </c>
      <c r="M147" s="26">
        <v>0</v>
      </c>
      <c r="N147" s="26">
        <v>0</v>
      </c>
      <c r="O147" s="26">
        <v>0</v>
      </c>
      <c r="P147" s="23">
        <v>0</v>
      </c>
      <c r="Q147" s="25">
        <f t="shared" si="147"/>
        <v>0</v>
      </c>
      <c r="R147" s="26">
        <v>0</v>
      </c>
      <c r="S147" s="26">
        <v>0</v>
      </c>
      <c r="T147" s="26">
        <v>0</v>
      </c>
      <c r="U147" s="23">
        <v>0</v>
      </c>
      <c r="V147" s="15">
        <f t="shared" si="143"/>
        <v>0</v>
      </c>
      <c r="W147" s="26">
        <v>0</v>
      </c>
      <c r="X147" s="26">
        <v>0</v>
      </c>
      <c r="Y147" s="26">
        <v>0</v>
      </c>
      <c r="Z147" s="23">
        <v>0</v>
      </c>
      <c r="AA147" s="15">
        <f t="shared" si="144"/>
        <v>0</v>
      </c>
      <c r="AB147" s="26">
        <v>0</v>
      </c>
      <c r="AC147" s="26">
        <v>0</v>
      </c>
      <c r="AD147" s="26">
        <v>0</v>
      </c>
      <c r="AE147" s="23">
        <v>0</v>
      </c>
      <c r="AF147" s="15">
        <f t="shared" si="145"/>
        <v>0</v>
      </c>
      <c r="AG147" s="26">
        <v>0</v>
      </c>
      <c r="AH147" s="26">
        <v>0</v>
      </c>
      <c r="AI147" s="26">
        <v>0</v>
      </c>
      <c r="AJ147" s="23">
        <v>0</v>
      </c>
      <c r="AK147" s="15">
        <f t="shared" si="137"/>
        <v>0</v>
      </c>
      <c r="AL147" s="26">
        <f t="shared" si="133"/>
        <v>0</v>
      </c>
      <c r="AM147" s="26">
        <f t="shared" si="133"/>
        <v>0</v>
      </c>
      <c r="AN147" s="26">
        <f t="shared" si="128"/>
        <v>0</v>
      </c>
      <c r="AO147" s="23">
        <v>0</v>
      </c>
      <c r="AP147" s="15">
        <f t="shared" si="138"/>
        <v>0</v>
      </c>
      <c r="AQ147" s="26">
        <f t="shared" si="134"/>
        <v>0</v>
      </c>
      <c r="AR147" s="26">
        <f t="shared" si="134"/>
        <v>0</v>
      </c>
      <c r="AS147" s="26">
        <f t="shared" si="121"/>
        <v>0</v>
      </c>
      <c r="AT147" s="23">
        <v>0</v>
      </c>
      <c r="AU147" s="15">
        <f t="shared" si="139"/>
        <v>0</v>
      </c>
      <c r="AV147" s="26">
        <f t="shared" si="135"/>
        <v>0</v>
      </c>
      <c r="AW147" s="26">
        <f t="shared" si="135"/>
        <v>0</v>
      </c>
      <c r="AX147" s="26">
        <f t="shared" si="129"/>
        <v>0</v>
      </c>
      <c r="AY147" s="26"/>
      <c r="AZ147" s="15">
        <f t="shared" si="146"/>
        <v>0</v>
      </c>
      <c r="BA147" s="26">
        <f t="shared" si="136"/>
        <v>0</v>
      </c>
      <c r="BB147" s="26">
        <f t="shared" si="136"/>
        <v>0</v>
      </c>
      <c r="BC147" s="26">
        <f t="shared" si="131"/>
        <v>0</v>
      </c>
      <c r="BD147" s="23">
        <v>0</v>
      </c>
      <c r="BE147" s="15">
        <f t="shared" si="140"/>
        <v>0</v>
      </c>
      <c r="BF147" s="26">
        <f t="shared" si="123"/>
        <v>0</v>
      </c>
      <c r="BG147" s="26">
        <f t="shared" si="123"/>
        <v>0</v>
      </c>
      <c r="BH147" s="26">
        <f t="shared" si="124"/>
        <v>0</v>
      </c>
      <c r="BI147" s="23">
        <v>0</v>
      </c>
      <c r="BJ147" s="15">
        <f t="shared" si="141"/>
        <v>0</v>
      </c>
      <c r="BK147" s="26">
        <f t="shared" si="125"/>
        <v>0</v>
      </c>
      <c r="BL147" s="26">
        <f t="shared" si="125"/>
        <v>0</v>
      </c>
      <c r="BM147" s="26">
        <f t="shared" si="132"/>
        <v>0</v>
      </c>
      <c r="BN147" s="26">
        <f t="shared" si="126"/>
        <v>0</v>
      </c>
      <c r="BO147" s="15">
        <f t="shared" si="142"/>
        <v>0</v>
      </c>
      <c r="BP147" s="20"/>
      <c r="BQ147" s="18"/>
    </row>
    <row r="148" spans="1:69" s="19" customFormat="1" ht="15">
      <c r="A148" s="21">
        <v>3051</v>
      </c>
      <c r="B148" s="2" t="s">
        <v>103</v>
      </c>
      <c r="C148" s="23">
        <v>0</v>
      </c>
      <c r="D148" s="23">
        <v>0</v>
      </c>
      <c r="E148" s="23">
        <v>0</v>
      </c>
      <c r="F148" s="23">
        <v>0</v>
      </c>
      <c r="G148" s="15">
        <f t="shared" si="127"/>
        <v>0</v>
      </c>
      <c r="H148" s="26">
        <v>0</v>
      </c>
      <c r="I148" s="26">
        <v>0</v>
      </c>
      <c r="J148" s="26">
        <v>0</v>
      </c>
      <c r="K148" s="23">
        <v>0</v>
      </c>
      <c r="L148" s="15">
        <f t="shared" si="118"/>
        <v>0</v>
      </c>
      <c r="M148" s="26">
        <v>0</v>
      </c>
      <c r="N148" s="26">
        <v>0</v>
      </c>
      <c r="O148" s="26">
        <v>0</v>
      </c>
      <c r="P148" s="23">
        <v>0</v>
      </c>
      <c r="Q148" s="25">
        <f t="shared" si="147"/>
        <v>0</v>
      </c>
      <c r="R148" s="26">
        <v>0</v>
      </c>
      <c r="S148" s="26">
        <v>0</v>
      </c>
      <c r="T148" s="26">
        <v>0</v>
      </c>
      <c r="U148" s="23">
        <v>0</v>
      </c>
      <c r="V148" s="15">
        <f t="shared" si="143"/>
        <v>0</v>
      </c>
      <c r="W148" s="26">
        <v>0</v>
      </c>
      <c r="X148" s="26">
        <v>0</v>
      </c>
      <c r="Y148" s="26">
        <v>0</v>
      </c>
      <c r="Z148" s="23">
        <v>0</v>
      </c>
      <c r="AA148" s="15">
        <f t="shared" si="144"/>
        <v>0</v>
      </c>
      <c r="AB148" s="26">
        <v>0</v>
      </c>
      <c r="AC148" s="26">
        <v>0</v>
      </c>
      <c r="AD148" s="26">
        <v>0</v>
      </c>
      <c r="AE148" s="23">
        <v>0</v>
      </c>
      <c r="AF148" s="15">
        <f t="shared" si="145"/>
        <v>0</v>
      </c>
      <c r="AG148" s="26">
        <v>0</v>
      </c>
      <c r="AH148" s="26">
        <v>0</v>
      </c>
      <c r="AI148" s="26">
        <v>0</v>
      </c>
      <c r="AJ148" s="23">
        <v>0</v>
      </c>
      <c r="AK148" s="15">
        <f t="shared" si="137"/>
        <v>0</v>
      </c>
      <c r="AL148" s="26">
        <f t="shared" si="133"/>
        <v>0</v>
      </c>
      <c r="AM148" s="26">
        <f t="shared" si="133"/>
        <v>0</v>
      </c>
      <c r="AN148" s="26">
        <f t="shared" si="128"/>
        <v>0</v>
      </c>
      <c r="AO148" s="23">
        <v>0</v>
      </c>
      <c r="AP148" s="15">
        <f t="shared" si="138"/>
        <v>0</v>
      </c>
      <c r="AQ148" s="26">
        <f t="shared" si="134"/>
        <v>0</v>
      </c>
      <c r="AR148" s="26">
        <f t="shared" si="134"/>
        <v>0</v>
      </c>
      <c r="AS148" s="26">
        <f t="shared" si="121"/>
        <v>0</v>
      </c>
      <c r="AT148" s="23">
        <v>0</v>
      </c>
      <c r="AU148" s="15">
        <f t="shared" si="139"/>
        <v>0</v>
      </c>
      <c r="AV148" s="26">
        <f t="shared" si="135"/>
        <v>0</v>
      </c>
      <c r="AW148" s="26">
        <f t="shared" si="135"/>
        <v>0</v>
      </c>
      <c r="AX148" s="26">
        <f t="shared" si="129"/>
        <v>0</v>
      </c>
      <c r="AY148" s="26"/>
      <c r="AZ148" s="15">
        <f t="shared" si="146"/>
        <v>0</v>
      </c>
      <c r="BA148" s="26">
        <f t="shared" si="136"/>
        <v>0</v>
      </c>
      <c r="BB148" s="26">
        <f t="shared" si="136"/>
        <v>0</v>
      </c>
      <c r="BC148" s="26">
        <f t="shared" si="131"/>
        <v>0</v>
      </c>
      <c r="BD148" s="23">
        <v>0</v>
      </c>
      <c r="BE148" s="15">
        <f t="shared" si="140"/>
        <v>0</v>
      </c>
      <c r="BF148" s="26">
        <f t="shared" si="123"/>
        <v>0</v>
      </c>
      <c r="BG148" s="26">
        <f t="shared" si="123"/>
        <v>0</v>
      </c>
      <c r="BH148" s="26">
        <f t="shared" si="124"/>
        <v>0</v>
      </c>
      <c r="BI148" s="23">
        <v>0</v>
      </c>
      <c r="BJ148" s="15">
        <f t="shared" si="141"/>
        <v>0</v>
      </c>
      <c r="BK148" s="26">
        <f t="shared" si="125"/>
        <v>0</v>
      </c>
      <c r="BL148" s="26">
        <f t="shared" si="125"/>
        <v>0</v>
      </c>
      <c r="BM148" s="26">
        <f t="shared" si="132"/>
        <v>0</v>
      </c>
      <c r="BN148" s="26">
        <f t="shared" si="126"/>
        <v>0</v>
      </c>
      <c r="BO148" s="15">
        <f t="shared" si="142"/>
        <v>0</v>
      </c>
      <c r="BP148" s="20"/>
      <c r="BQ148" s="18"/>
    </row>
    <row r="149" spans="1:69" s="19" customFormat="1" ht="15">
      <c r="A149" s="21">
        <v>3052</v>
      </c>
      <c r="B149" s="2" t="s">
        <v>104</v>
      </c>
      <c r="C149" s="23">
        <v>0</v>
      </c>
      <c r="D149" s="23">
        <v>0</v>
      </c>
      <c r="E149" s="23">
        <v>0</v>
      </c>
      <c r="F149" s="23">
        <v>0</v>
      </c>
      <c r="G149" s="15">
        <f t="shared" si="127"/>
        <v>0</v>
      </c>
      <c r="H149" s="26">
        <v>0</v>
      </c>
      <c r="I149" s="26">
        <v>0</v>
      </c>
      <c r="J149" s="26">
        <v>0</v>
      </c>
      <c r="K149" s="23">
        <v>0</v>
      </c>
      <c r="L149" s="15">
        <f t="shared" si="118"/>
        <v>0</v>
      </c>
      <c r="M149" s="26">
        <v>0</v>
      </c>
      <c r="N149" s="26">
        <v>0</v>
      </c>
      <c r="O149" s="26">
        <v>0</v>
      </c>
      <c r="P149" s="23">
        <v>0</v>
      </c>
      <c r="Q149" s="25">
        <f t="shared" si="147"/>
        <v>0</v>
      </c>
      <c r="R149" s="26">
        <v>0</v>
      </c>
      <c r="S149" s="26">
        <v>0</v>
      </c>
      <c r="T149" s="26">
        <v>0</v>
      </c>
      <c r="U149" s="23">
        <v>0</v>
      </c>
      <c r="V149" s="15">
        <f t="shared" si="143"/>
        <v>0</v>
      </c>
      <c r="W149" s="26">
        <v>0</v>
      </c>
      <c r="X149" s="26">
        <v>0</v>
      </c>
      <c r="Y149" s="26">
        <v>0</v>
      </c>
      <c r="Z149" s="23">
        <v>0</v>
      </c>
      <c r="AA149" s="15">
        <f t="shared" si="144"/>
        <v>0</v>
      </c>
      <c r="AB149" s="26">
        <v>0</v>
      </c>
      <c r="AC149" s="26">
        <v>0</v>
      </c>
      <c r="AD149" s="26">
        <v>0</v>
      </c>
      <c r="AE149" s="23">
        <v>0</v>
      </c>
      <c r="AF149" s="15">
        <f t="shared" si="145"/>
        <v>0</v>
      </c>
      <c r="AG149" s="26">
        <v>0</v>
      </c>
      <c r="AH149" s="26">
        <v>0</v>
      </c>
      <c r="AI149" s="26">
        <v>0</v>
      </c>
      <c r="AJ149" s="23">
        <v>0</v>
      </c>
      <c r="AK149" s="15">
        <f t="shared" si="137"/>
        <v>0</v>
      </c>
      <c r="AL149" s="26">
        <f t="shared" si="133"/>
        <v>0</v>
      </c>
      <c r="AM149" s="26">
        <f t="shared" si="133"/>
        <v>0</v>
      </c>
      <c r="AN149" s="26">
        <f t="shared" si="128"/>
        <v>0</v>
      </c>
      <c r="AO149" s="23">
        <v>0</v>
      </c>
      <c r="AP149" s="15">
        <f t="shared" si="138"/>
        <v>0</v>
      </c>
      <c r="AQ149" s="26">
        <f t="shared" si="134"/>
        <v>0</v>
      </c>
      <c r="AR149" s="26">
        <f t="shared" si="134"/>
        <v>0</v>
      </c>
      <c r="AS149" s="26">
        <f t="shared" si="121"/>
        <v>0</v>
      </c>
      <c r="AT149" s="23">
        <v>0</v>
      </c>
      <c r="AU149" s="15">
        <f t="shared" si="139"/>
        <v>0</v>
      </c>
      <c r="AV149" s="26">
        <f t="shared" si="135"/>
        <v>0</v>
      </c>
      <c r="AW149" s="26">
        <f t="shared" si="135"/>
        <v>0</v>
      </c>
      <c r="AX149" s="26">
        <f t="shared" si="129"/>
        <v>0</v>
      </c>
      <c r="AY149" s="26"/>
      <c r="AZ149" s="15">
        <f t="shared" si="146"/>
        <v>0</v>
      </c>
      <c r="BA149" s="26">
        <f t="shared" si="136"/>
        <v>0</v>
      </c>
      <c r="BB149" s="26">
        <f t="shared" si="136"/>
        <v>0</v>
      </c>
      <c r="BC149" s="26">
        <f t="shared" si="131"/>
        <v>0</v>
      </c>
      <c r="BD149" s="23">
        <v>0</v>
      </c>
      <c r="BE149" s="15">
        <f t="shared" si="140"/>
        <v>0</v>
      </c>
      <c r="BF149" s="26">
        <f t="shared" si="123"/>
        <v>0</v>
      </c>
      <c r="BG149" s="26">
        <f t="shared" si="123"/>
        <v>0</v>
      </c>
      <c r="BH149" s="26">
        <f t="shared" si="124"/>
        <v>0</v>
      </c>
      <c r="BI149" s="23">
        <v>0</v>
      </c>
      <c r="BJ149" s="15">
        <f t="shared" si="141"/>
        <v>0</v>
      </c>
      <c r="BK149" s="26">
        <f t="shared" si="125"/>
        <v>0</v>
      </c>
      <c r="BL149" s="26">
        <f t="shared" si="125"/>
        <v>0</v>
      </c>
      <c r="BM149" s="26">
        <f t="shared" si="132"/>
        <v>0</v>
      </c>
      <c r="BN149" s="26">
        <f t="shared" si="126"/>
        <v>0</v>
      </c>
      <c r="BO149" s="15">
        <f t="shared" si="142"/>
        <v>0</v>
      </c>
      <c r="BP149" s="20"/>
      <c r="BQ149" s="18"/>
    </row>
    <row r="150" spans="1:69" s="19" customFormat="1" ht="15">
      <c r="A150" s="21">
        <v>3053</v>
      </c>
      <c r="B150" s="2" t="s">
        <v>105</v>
      </c>
      <c r="C150" s="23">
        <v>0</v>
      </c>
      <c r="D150" s="23">
        <v>0</v>
      </c>
      <c r="E150" s="23">
        <v>0</v>
      </c>
      <c r="F150" s="23">
        <v>0</v>
      </c>
      <c r="G150" s="15">
        <f t="shared" si="127"/>
        <v>0</v>
      </c>
      <c r="H150" s="26">
        <v>0</v>
      </c>
      <c r="I150" s="26">
        <v>0</v>
      </c>
      <c r="J150" s="26">
        <v>0</v>
      </c>
      <c r="K150" s="23">
        <v>0</v>
      </c>
      <c r="L150" s="15">
        <f t="shared" si="118"/>
        <v>0</v>
      </c>
      <c r="M150" s="26">
        <v>0</v>
      </c>
      <c r="N150" s="26">
        <v>0</v>
      </c>
      <c r="O150" s="26">
        <v>0</v>
      </c>
      <c r="P150" s="23">
        <v>0</v>
      </c>
      <c r="Q150" s="25">
        <f t="shared" si="147"/>
        <v>0</v>
      </c>
      <c r="R150" s="26">
        <v>0</v>
      </c>
      <c r="S150" s="26">
        <v>0</v>
      </c>
      <c r="T150" s="26">
        <v>0</v>
      </c>
      <c r="U150" s="23">
        <v>0</v>
      </c>
      <c r="V150" s="15">
        <f t="shared" si="143"/>
        <v>0</v>
      </c>
      <c r="W150" s="26">
        <v>0</v>
      </c>
      <c r="X150" s="26">
        <v>0</v>
      </c>
      <c r="Y150" s="26">
        <v>0</v>
      </c>
      <c r="Z150" s="23">
        <v>0</v>
      </c>
      <c r="AA150" s="15">
        <f t="shared" si="144"/>
        <v>0</v>
      </c>
      <c r="AB150" s="26">
        <v>0</v>
      </c>
      <c r="AC150" s="26">
        <v>0</v>
      </c>
      <c r="AD150" s="26">
        <v>0</v>
      </c>
      <c r="AE150" s="23">
        <v>0</v>
      </c>
      <c r="AF150" s="15">
        <f t="shared" si="145"/>
        <v>0</v>
      </c>
      <c r="AG150" s="26">
        <v>0</v>
      </c>
      <c r="AH150" s="26">
        <v>0</v>
      </c>
      <c r="AI150" s="26">
        <v>0</v>
      </c>
      <c r="AJ150" s="23">
        <v>0</v>
      </c>
      <c r="AK150" s="15">
        <f t="shared" si="137"/>
        <v>0</v>
      </c>
      <c r="AL150" s="26">
        <f t="shared" si="133"/>
        <v>0</v>
      </c>
      <c r="AM150" s="26">
        <f t="shared" si="133"/>
        <v>0</v>
      </c>
      <c r="AN150" s="26">
        <f t="shared" si="128"/>
        <v>0</v>
      </c>
      <c r="AO150" s="23">
        <v>0</v>
      </c>
      <c r="AP150" s="15">
        <f t="shared" si="138"/>
        <v>0</v>
      </c>
      <c r="AQ150" s="26">
        <f t="shared" si="134"/>
        <v>0</v>
      </c>
      <c r="AR150" s="26">
        <f t="shared" si="134"/>
        <v>0</v>
      </c>
      <c r="AS150" s="26">
        <f t="shared" si="121"/>
        <v>0</v>
      </c>
      <c r="AT150" s="23">
        <v>0</v>
      </c>
      <c r="AU150" s="15">
        <f t="shared" si="139"/>
        <v>0</v>
      </c>
      <c r="AV150" s="26">
        <f t="shared" si="135"/>
        <v>0</v>
      </c>
      <c r="AW150" s="26">
        <f t="shared" si="135"/>
        <v>0</v>
      </c>
      <c r="AX150" s="26">
        <f t="shared" si="129"/>
        <v>0</v>
      </c>
      <c r="AY150" s="26"/>
      <c r="AZ150" s="15">
        <f t="shared" si="146"/>
        <v>0</v>
      </c>
      <c r="BA150" s="26">
        <f t="shared" si="136"/>
        <v>0</v>
      </c>
      <c r="BB150" s="26">
        <f t="shared" si="136"/>
        <v>0</v>
      </c>
      <c r="BC150" s="26">
        <f t="shared" si="131"/>
        <v>0</v>
      </c>
      <c r="BD150" s="23">
        <v>0</v>
      </c>
      <c r="BE150" s="15">
        <f t="shared" si="140"/>
        <v>0</v>
      </c>
      <c r="BF150" s="26">
        <f t="shared" si="123"/>
        <v>0</v>
      </c>
      <c r="BG150" s="26">
        <f t="shared" si="123"/>
        <v>0</v>
      </c>
      <c r="BH150" s="26">
        <f t="shared" si="124"/>
        <v>0</v>
      </c>
      <c r="BI150" s="23">
        <v>0</v>
      </c>
      <c r="BJ150" s="15">
        <f t="shared" si="141"/>
        <v>0</v>
      </c>
      <c r="BK150" s="26">
        <f t="shared" si="125"/>
        <v>0</v>
      </c>
      <c r="BL150" s="26">
        <f t="shared" si="125"/>
        <v>0</v>
      </c>
      <c r="BM150" s="26">
        <f t="shared" si="132"/>
        <v>0</v>
      </c>
      <c r="BN150" s="26">
        <f t="shared" si="126"/>
        <v>0</v>
      </c>
      <c r="BO150" s="15">
        <f t="shared" si="142"/>
        <v>0</v>
      </c>
      <c r="BP150" s="20"/>
      <c r="BQ150" s="18"/>
    </row>
    <row r="151" spans="1:69" s="19" customFormat="1" ht="15">
      <c r="A151" s="21">
        <v>3054</v>
      </c>
      <c r="B151" s="2" t="s">
        <v>203</v>
      </c>
      <c r="C151" s="1">
        <v>24.39</v>
      </c>
      <c r="D151" s="1">
        <f>12.16+E151</f>
        <v>12.4</v>
      </c>
      <c r="E151" s="1">
        <v>0.24</v>
      </c>
      <c r="F151" s="23">
        <v>0</v>
      </c>
      <c r="G151" s="15">
        <f t="shared" si="127"/>
        <v>36.79</v>
      </c>
      <c r="H151" s="26">
        <v>29.6</v>
      </c>
      <c r="I151" s="26">
        <f>18.56+J151</f>
        <v>18.66</v>
      </c>
      <c r="J151" s="26">
        <v>0.1</v>
      </c>
      <c r="K151" s="23">
        <v>0.25</v>
      </c>
      <c r="L151" s="15">
        <f t="shared" si="118"/>
        <v>48.260000000000005</v>
      </c>
      <c r="M151" s="26">
        <v>36.13</v>
      </c>
      <c r="N151" s="26">
        <v>16.67</v>
      </c>
      <c r="O151" s="26">
        <v>0</v>
      </c>
      <c r="P151" s="23">
        <v>0</v>
      </c>
      <c r="Q151" s="25">
        <f t="shared" si="147"/>
        <v>52.800000000000004</v>
      </c>
      <c r="R151" s="26">
        <v>34.11</v>
      </c>
      <c r="S151" s="26">
        <v>20.4</v>
      </c>
      <c r="T151" s="26">
        <v>0</v>
      </c>
      <c r="U151" s="23">
        <v>0.37</v>
      </c>
      <c r="V151" s="15">
        <f t="shared" si="143"/>
        <v>54.51</v>
      </c>
      <c r="W151" s="26">
        <v>45.29</v>
      </c>
      <c r="X151" s="26">
        <f>20.19+Y151</f>
        <v>20.37</v>
      </c>
      <c r="Y151" s="26">
        <v>0.18</v>
      </c>
      <c r="Z151" s="23">
        <v>0</v>
      </c>
      <c r="AA151" s="15">
        <f t="shared" si="144"/>
        <v>65.66</v>
      </c>
      <c r="AB151" s="1">
        <v>51.78</v>
      </c>
      <c r="AC151" s="1">
        <v>17.38</v>
      </c>
      <c r="AD151" s="26">
        <v>0</v>
      </c>
      <c r="AE151" s="23">
        <v>0.01</v>
      </c>
      <c r="AF151" s="15">
        <f t="shared" si="145"/>
        <v>69.16</v>
      </c>
      <c r="AG151" s="1">
        <v>61.93</v>
      </c>
      <c r="AH151" s="1">
        <v>22.04</v>
      </c>
      <c r="AI151" s="1"/>
      <c r="AJ151" s="23">
        <v>0</v>
      </c>
      <c r="AK151" s="15">
        <f t="shared" si="137"/>
        <v>83.97</v>
      </c>
      <c r="AL151" s="26">
        <f t="shared" si="133"/>
        <v>71.79816177850402</v>
      </c>
      <c r="AM151" s="26">
        <f t="shared" si="133"/>
        <v>24.5195</v>
      </c>
      <c r="AN151" s="26">
        <f t="shared" si="128"/>
        <v>0</v>
      </c>
      <c r="AO151" s="23">
        <v>0</v>
      </c>
      <c r="AP151" s="15">
        <f t="shared" si="138"/>
        <v>96.31766177850403</v>
      </c>
      <c r="AQ151" s="26">
        <f t="shared" si="134"/>
        <v>83.23875399276984</v>
      </c>
      <c r="AR151" s="26">
        <f t="shared" si="134"/>
        <v>27.277943750000002</v>
      </c>
      <c r="AS151" s="26">
        <f t="shared" si="121"/>
        <v>0</v>
      </c>
      <c r="AT151" s="23">
        <v>0</v>
      </c>
      <c r="AU151" s="15">
        <f t="shared" si="139"/>
        <v>110.51669774276985</v>
      </c>
      <c r="AV151" s="26">
        <f t="shared" si="135"/>
        <v>96.50233368987546</v>
      </c>
      <c r="AW151" s="26">
        <f t="shared" si="135"/>
        <v>30.346712421875004</v>
      </c>
      <c r="AX151" s="26">
        <f t="shared" si="129"/>
        <v>0</v>
      </c>
      <c r="AY151" s="26"/>
      <c r="AZ151" s="15">
        <f t="shared" si="146"/>
        <v>126.84904611175045</v>
      </c>
      <c r="BA151" s="26">
        <f t="shared" si="136"/>
        <v>111.87938262988628</v>
      </c>
      <c r="BB151" s="26">
        <f t="shared" si="136"/>
        <v>33.760717569335945</v>
      </c>
      <c r="BC151" s="26">
        <f t="shared" si="131"/>
        <v>0</v>
      </c>
      <c r="BD151" s="23">
        <v>0</v>
      </c>
      <c r="BE151" s="15">
        <f t="shared" si="140"/>
        <v>145.64010019922222</v>
      </c>
      <c r="BF151" s="26">
        <f t="shared" si="123"/>
        <v>129.70666904149408</v>
      </c>
      <c r="BG151" s="26">
        <f t="shared" si="123"/>
        <v>37.55879829588624</v>
      </c>
      <c r="BH151" s="26">
        <f t="shared" si="124"/>
        <v>0</v>
      </c>
      <c r="BI151" s="23">
        <v>0</v>
      </c>
      <c r="BJ151" s="15">
        <f t="shared" si="141"/>
        <v>167.26546733738033</v>
      </c>
      <c r="BK151" s="26">
        <f t="shared" si="125"/>
        <v>150.3746230839992</v>
      </c>
      <c r="BL151" s="26">
        <f t="shared" si="125"/>
        <v>41.784163104173444</v>
      </c>
      <c r="BM151" s="26">
        <f t="shared" si="132"/>
        <v>0</v>
      </c>
      <c r="BN151" s="26">
        <f t="shared" si="126"/>
        <v>0</v>
      </c>
      <c r="BO151" s="15">
        <f t="shared" si="142"/>
        <v>192.15878618817266</v>
      </c>
      <c r="BP151" s="20">
        <v>0.1593438039480708</v>
      </c>
      <c r="BQ151" s="18">
        <v>0.1125</v>
      </c>
    </row>
    <row r="152" spans="1:69" s="19" customFormat="1" ht="15">
      <c r="A152" s="21">
        <v>3055</v>
      </c>
      <c r="B152" s="2" t="s">
        <v>204</v>
      </c>
      <c r="C152" s="23">
        <v>16.01</v>
      </c>
      <c r="D152" s="23">
        <v>2.4</v>
      </c>
      <c r="E152" s="23">
        <v>0</v>
      </c>
      <c r="F152" s="23">
        <v>0</v>
      </c>
      <c r="G152" s="15">
        <f t="shared" si="127"/>
        <v>18.41</v>
      </c>
      <c r="H152" s="26">
        <v>19.09</v>
      </c>
      <c r="I152" s="26">
        <v>1.24</v>
      </c>
      <c r="J152" s="26">
        <v>0</v>
      </c>
      <c r="K152" s="23">
        <v>0</v>
      </c>
      <c r="L152" s="15">
        <f t="shared" si="118"/>
        <v>20.33</v>
      </c>
      <c r="M152" s="26">
        <v>31.94</v>
      </c>
      <c r="N152" s="26">
        <v>1.49</v>
      </c>
      <c r="O152" s="26">
        <v>0</v>
      </c>
      <c r="P152" s="23">
        <v>0</v>
      </c>
      <c r="Q152" s="25">
        <f t="shared" si="147"/>
        <v>33.43</v>
      </c>
      <c r="R152" s="26">
        <v>25.96</v>
      </c>
      <c r="S152" s="26">
        <v>2.29</v>
      </c>
      <c r="T152" s="26">
        <v>0</v>
      </c>
      <c r="U152" s="23">
        <v>0</v>
      </c>
      <c r="V152" s="15">
        <f t="shared" si="143"/>
        <v>28.25</v>
      </c>
      <c r="W152" s="26">
        <v>29.79</v>
      </c>
      <c r="X152" s="26">
        <v>2.34</v>
      </c>
      <c r="Y152" s="26">
        <v>0</v>
      </c>
      <c r="Z152" s="23">
        <v>0</v>
      </c>
      <c r="AA152" s="15">
        <f t="shared" si="144"/>
        <v>32.129999999999995</v>
      </c>
      <c r="AB152" s="1">
        <v>34.61</v>
      </c>
      <c r="AC152" s="1">
        <v>1.96</v>
      </c>
      <c r="AD152" s="26">
        <v>0</v>
      </c>
      <c r="AE152" s="23">
        <v>0</v>
      </c>
      <c r="AF152" s="15">
        <f t="shared" si="145"/>
        <v>36.57</v>
      </c>
      <c r="AG152" s="1">
        <v>35.34</v>
      </c>
      <c r="AH152" s="1">
        <v>4.33</v>
      </c>
      <c r="AI152" s="1">
        <v>1.13</v>
      </c>
      <c r="AJ152" s="23">
        <v>0</v>
      </c>
      <c r="AK152" s="15">
        <f t="shared" si="137"/>
        <v>39.67</v>
      </c>
      <c r="AL152" s="26">
        <f t="shared" si="133"/>
        <v>40.03928190598939</v>
      </c>
      <c r="AM152" s="26">
        <f t="shared" si="133"/>
        <v>4.817125</v>
      </c>
      <c r="AN152" s="26">
        <f t="shared" si="128"/>
        <v>1.2571249999999998</v>
      </c>
      <c r="AO152" s="23">
        <v>0</v>
      </c>
      <c r="AP152" s="15">
        <f t="shared" si="138"/>
        <v>44.85640690598939</v>
      </c>
      <c r="AQ152" s="26">
        <f t="shared" si="134"/>
        <v>45.363443563873496</v>
      </c>
      <c r="AR152" s="26">
        <f t="shared" si="134"/>
        <v>5.3590515624999995</v>
      </c>
      <c r="AS152" s="26">
        <f t="shared" si="121"/>
        <v>1.3985515624999998</v>
      </c>
      <c r="AT152" s="23">
        <v>0</v>
      </c>
      <c r="AU152" s="15">
        <f t="shared" si="139"/>
        <v>50.722495126373495</v>
      </c>
      <c r="AV152" s="26">
        <f t="shared" si="135"/>
        <v>51.39557739333251</v>
      </c>
      <c r="AW152" s="26">
        <f t="shared" si="135"/>
        <v>5.961944863281249</v>
      </c>
      <c r="AX152" s="26">
        <f t="shared" si="129"/>
        <v>1.5558886132812497</v>
      </c>
      <c r="AY152" s="26"/>
      <c r="AZ152" s="15">
        <f t="shared" si="146"/>
        <v>57.357522256613755</v>
      </c>
      <c r="BA152" s="26">
        <f t="shared" si="136"/>
        <v>58.22982490019059</v>
      </c>
      <c r="BB152" s="26">
        <f t="shared" si="136"/>
        <v>6.6326636604003895</v>
      </c>
      <c r="BC152" s="26">
        <f t="shared" si="131"/>
        <v>1.7309260822753902</v>
      </c>
      <c r="BD152" s="23">
        <v>0</v>
      </c>
      <c r="BE152" s="15">
        <f t="shared" si="140"/>
        <v>64.86248856059098</v>
      </c>
      <c r="BF152" s="26">
        <f t="shared" si="123"/>
        <v>65.97284591157701</v>
      </c>
      <c r="BG152" s="26">
        <f t="shared" si="123"/>
        <v>7.378838322195433</v>
      </c>
      <c r="BH152" s="26">
        <f t="shared" si="124"/>
        <v>1.9256552665313715</v>
      </c>
      <c r="BI152" s="23">
        <v>0</v>
      </c>
      <c r="BJ152" s="15">
        <f t="shared" si="141"/>
        <v>73.35168423377245</v>
      </c>
      <c r="BK152" s="26">
        <f t="shared" si="125"/>
        <v>74.74548318036308</v>
      </c>
      <c r="BL152" s="26">
        <f t="shared" si="125"/>
        <v>8.20895763344242</v>
      </c>
      <c r="BM152" s="26">
        <f t="shared" si="132"/>
        <v>2.142291484016151</v>
      </c>
      <c r="BN152" s="26">
        <f t="shared" si="126"/>
        <v>0</v>
      </c>
      <c r="BO152" s="15">
        <f t="shared" si="142"/>
        <v>82.9544408138055</v>
      </c>
      <c r="BP152" s="20">
        <v>0.132973455177968</v>
      </c>
      <c r="BQ152" s="18">
        <v>0.1125</v>
      </c>
    </row>
    <row r="153" spans="1:69" s="19" customFormat="1" ht="15">
      <c r="A153" s="21">
        <v>3056</v>
      </c>
      <c r="B153" s="2" t="s">
        <v>106</v>
      </c>
      <c r="C153" s="23">
        <v>0</v>
      </c>
      <c r="D153" s="23">
        <v>0</v>
      </c>
      <c r="E153" s="23">
        <v>0</v>
      </c>
      <c r="F153" s="23">
        <v>0</v>
      </c>
      <c r="G153" s="15">
        <f t="shared" si="127"/>
        <v>0</v>
      </c>
      <c r="H153" s="26">
        <v>0</v>
      </c>
      <c r="I153" s="26">
        <v>0</v>
      </c>
      <c r="J153" s="26">
        <v>0</v>
      </c>
      <c r="K153" s="23">
        <v>0</v>
      </c>
      <c r="L153" s="15">
        <f t="shared" si="118"/>
        <v>0</v>
      </c>
      <c r="M153" s="26">
        <v>0</v>
      </c>
      <c r="N153" s="26">
        <v>0</v>
      </c>
      <c r="O153" s="26">
        <v>0</v>
      </c>
      <c r="P153" s="23">
        <v>0</v>
      </c>
      <c r="Q153" s="25">
        <f t="shared" si="147"/>
        <v>0</v>
      </c>
      <c r="R153" s="26">
        <v>0</v>
      </c>
      <c r="S153" s="26">
        <v>0</v>
      </c>
      <c r="T153" s="26">
        <v>0</v>
      </c>
      <c r="U153" s="23">
        <v>0</v>
      </c>
      <c r="V153" s="15">
        <f t="shared" si="143"/>
        <v>0</v>
      </c>
      <c r="W153" s="26">
        <v>0</v>
      </c>
      <c r="X153" s="26">
        <v>0</v>
      </c>
      <c r="Y153" s="26">
        <v>0</v>
      </c>
      <c r="Z153" s="23">
        <v>0</v>
      </c>
      <c r="AA153" s="15">
        <f t="shared" si="144"/>
        <v>0</v>
      </c>
      <c r="AB153" s="26">
        <v>0</v>
      </c>
      <c r="AC153" s="26">
        <v>0</v>
      </c>
      <c r="AD153" s="26">
        <v>0</v>
      </c>
      <c r="AE153" s="23">
        <v>0</v>
      </c>
      <c r="AF153" s="15">
        <f t="shared" si="145"/>
        <v>0</v>
      </c>
      <c r="AG153" s="26">
        <v>0</v>
      </c>
      <c r="AH153" s="26">
        <v>0</v>
      </c>
      <c r="AI153" s="26">
        <v>0</v>
      </c>
      <c r="AJ153" s="23">
        <v>0</v>
      </c>
      <c r="AK153" s="15">
        <f t="shared" si="137"/>
        <v>0</v>
      </c>
      <c r="AL153" s="26">
        <f t="shared" si="133"/>
        <v>0</v>
      </c>
      <c r="AM153" s="26">
        <f t="shared" si="133"/>
        <v>0</v>
      </c>
      <c r="AN153" s="26">
        <f t="shared" si="128"/>
        <v>0</v>
      </c>
      <c r="AO153" s="23">
        <v>0</v>
      </c>
      <c r="AP153" s="15">
        <f t="shared" si="138"/>
        <v>0</v>
      </c>
      <c r="AQ153" s="26">
        <f t="shared" si="134"/>
        <v>0</v>
      </c>
      <c r="AR153" s="26">
        <f t="shared" si="134"/>
        <v>0</v>
      </c>
      <c r="AS153" s="26">
        <f t="shared" si="121"/>
        <v>0</v>
      </c>
      <c r="AT153" s="23">
        <v>0</v>
      </c>
      <c r="AU153" s="15">
        <f t="shared" si="139"/>
        <v>0</v>
      </c>
      <c r="AV153" s="26">
        <f t="shared" si="135"/>
        <v>0</v>
      </c>
      <c r="AW153" s="26">
        <f t="shared" si="135"/>
        <v>0</v>
      </c>
      <c r="AX153" s="26">
        <f t="shared" si="129"/>
        <v>0</v>
      </c>
      <c r="AY153" s="26"/>
      <c r="AZ153" s="15">
        <f t="shared" si="146"/>
        <v>0</v>
      </c>
      <c r="BA153" s="26">
        <f t="shared" si="136"/>
        <v>0</v>
      </c>
      <c r="BB153" s="26">
        <f t="shared" si="136"/>
        <v>0</v>
      </c>
      <c r="BC153" s="26">
        <f t="shared" si="131"/>
        <v>0</v>
      </c>
      <c r="BD153" s="23">
        <v>0</v>
      </c>
      <c r="BE153" s="15">
        <f t="shared" si="140"/>
        <v>0</v>
      </c>
      <c r="BF153" s="26">
        <f t="shared" si="123"/>
        <v>0</v>
      </c>
      <c r="BG153" s="26">
        <f t="shared" si="123"/>
        <v>0</v>
      </c>
      <c r="BH153" s="26">
        <f t="shared" si="124"/>
        <v>0</v>
      </c>
      <c r="BI153" s="23">
        <v>0</v>
      </c>
      <c r="BJ153" s="15">
        <f t="shared" si="141"/>
        <v>0</v>
      </c>
      <c r="BK153" s="26">
        <f t="shared" si="125"/>
        <v>0</v>
      </c>
      <c r="BL153" s="26">
        <f t="shared" si="125"/>
        <v>0</v>
      </c>
      <c r="BM153" s="26">
        <f t="shared" si="132"/>
        <v>0</v>
      </c>
      <c r="BN153" s="26">
        <f t="shared" si="126"/>
        <v>0</v>
      </c>
      <c r="BO153" s="15">
        <f t="shared" si="142"/>
        <v>0</v>
      </c>
      <c r="BP153" s="20"/>
      <c r="BQ153" s="18"/>
    </row>
    <row r="154" spans="1:69" s="19" customFormat="1" ht="15">
      <c r="A154" s="21">
        <v>3075</v>
      </c>
      <c r="B154" s="2" t="s">
        <v>107</v>
      </c>
      <c r="C154" s="23">
        <v>0</v>
      </c>
      <c r="D154" s="23">
        <v>0</v>
      </c>
      <c r="E154" s="23">
        <v>0</v>
      </c>
      <c r="F154" s="23">
        <v>0</v>
      </c>
      <c r="G154" s="15">
        <f t="shared" si="127"/>
        <v>0</v>
      </c>
      <c r="H154" s="26">
        <v>0</v>
      </c>
      <c r="I154" s="26">
        <v>0</v>
      </c>
      <c r="J154" s="26">
        <v>0</v>
      </c>
      <c r="K154" s="23">
        <v>0</v>
      </c>
      <c r="L154" s="15">
        <f t="shared" si="118"/>
        <v>0</v>
      </c>
      <c r="M154" s="26">
        <v>0</v>
      </c>
      <c r="N154" s="26">
        <v>0</v>
      </c>
      <c r="O154" s="26">
        <v>0</v>
      </c>
      <c r="P154" s="23">
        <v>0</v>
      </c>
      <c r="Q154" s="25">
        <f t="shared" si="147"/>
        <v>0</v>
      </c>
      <c r="R154" s="26">
        <v>0</v>
      </c>
      <c r="S154" s="26">
        <v>0</v>
      </c>
      <c r="T154" s="26">
        <v>0</v>
      </c>
      <c r="U154" s="23">
        <v>0</v>
      </c>
      <c r="V154" s="15">
        <f t="shared" si="143"/>
        <v>0</v>
      </c>
      <c r="W154" s="26">
        <v>0</v>
      </c>
      <c r="X154" s="26">
        <v>0</v>
      </c>
      <c r="Y154" s="26">
        <v>0</v>
      </c>
      <c r="Z154" s="23">
        <v>0</v>
      </c>
      <c r="AA154" s="15">
        <f t="shared" si="144"/>
        <v>0</v>
      </c>
      <c r="AB154" s="26">
        <v>0</v>
      </c>
      <c r="AC154" s="26">
        <v>0</v>
      </c>
      <c r="AD154" s="26">
        <v>0</v>
      </c>
      <c r="AE154" s="23">
        <v>0</v>
      </c>
      <c r="AF154" s="15">
        <f t="shared" si="145"/>
        <v>0</v>
      </c>
      <c r="AG154" s="26">
        <v>0</v>
      </c>
      <c r="AH154" s="26">
        <v>0</v>
      </c>
      <c r="AI154" s="26">
        <v>0</v>
      </c>
      <c r="AJ154" s="23">
        <v>0</v>
      </c>
      <c r="AK154" s="15">
        <f t="shared" si="137"/>
        <v>0</v>
      </c>
      <c r="AL154" s="26">
        <f t="shared" si="133"/>
        <v>0</v>
      </c>
      <c r="AM154" s="26">
        <f t="shared" si="133"/>
        <v>0</v>
      </c>
      <c r="AN154" s="26">
        <f t="shared" si="128"/>
        <v>0</v>
      </c>
      <c r="AO154" s="23">
        <v>0</v>
      </c>
      <c r="AP154" s="15">
        <f t="shared" si="138"/>
        <v>0</v>
      </c>
      <c r="AQ154" s="26">
        <f t="shared" si="134"/>
        <v>0</v>
      </c>
      <c r="AR154" s="26">
        <f t="shared" si="134"/>
        <v>0</v>
      </c>
      <c r="AS154" s="26">
        <f t="shared" si="121"/>
        <v>0</v>
      </c>
      <c r="AT154" s="23">
        <v>0</v>
      </c>
      <c r="AU154" s="15">
        <f t="shared" si="139"/>
        <v>0</v>
      </c>
      <c r="AV154" s="26">
        <f t="shared" si="135"/>
        <v>0</v>
      </c>
      <c r="AW154" s="26">
        <f t="shared" si="135"/>
        <v>0</v>
      </c>
      <c r="AX154" s="26">
        <f t="shared" si="129"/>
        <v>0</v>
      </c>
      <c r="AY154" s="26"/>
      <c r="AZ154" s="15">
        <f t="shared" si="146"/>
        <v>0</v>
      </c>
      <c r="BA154" s="26">
        <f t="shared" si="136"/>
        <v>0</v>
      </c>
      <c r="BB154" s="26">
        <f t="shared" si="136"/>
        <v>0</v>
      </c>
      <c r="BC154" s="26">
        <f t="shared" si="131"/>
        <v>0</v>
      </c>
      <c r="BD154" s="23">
        <v>0</v>
      </c>
      <c r="BE154" s="15">
        <f t="shared" si="140"/>
        <v>0</v>
      </c>
      <c r="BF154" s="26">
        <f t="shared" si="123"/>
        <v>0</v>
      </c>
      <c r="BG154" s="26">
        <f t="shared" si="123"/>
        <v>0</v>
      </c>
      <c r="BH154" s="26">
        <f t="shared" si="124"/>
        <v>0</v>
      </c>
      <c r="BI154" s="23">
        <v>0</v>
      </c>
      <c r="BJ154" s="15">
        <f t="shared" si="141"/>
        <v>0</v>
      </c>
      <c r="BK154" s="26">
        <f t="shared" si="125"/>
        <v>0</v>
      </c>
      <c r="BL154" s="26">
        <f t="shared" si="125"/>
        <v>0</v>
      </c>
      <c r="BM154" s="26">
        <f t="shared" si="132"/>
        <v>0</v>
      </c>
      <c r="BN154" s="26">
        <f t="shared" si="126"/>
        <v>0</v>
      </c>
      <c r="BO154" s="15">
        <f t="shared" si="142"/>
        <v>0</v>
      </c>
      <c r="BP154" s="20"/>
      <c r="BQ154" s="18"/>
    </row>
    <row r="155" spans="1:69" s="19" customFormat="1" ht="30">
      <c r="A155" s="21">
        <v>3275</v>
      </c>
      <c r="B155" s="2" t="s">
        <v>108</v>
      </c>
      <c r="C155" s="23">
        <v>0</v>
      </c>
      <c r="D155" s="23">
        <v>0</v>
      </c>
      <c r="E155" s="23">
        <v>0</v>
      </c>
      <c r="F155" s="23">
        <v>0</v>
      </c>
      <c r="G155" s="15">
        <f t="shared" si="127"/>
        <v>0</v>
      </c>
      <c r="H155" s="26">
        <v>0</v>
      </c>
      <c r="I155" s="26">
        <v>0</v>
      </c>
      <c r="J155" s="26">
        <v>0</v>
      </c>
      <c r="K155" s="23">
        <v>0</v>
      </c>
      <c r="L155" s="15">
        <f t="shared" si="118"/>
        <v>0</v>
      </c>
      <c r="M155" s="26">
        <v>0</v>
      </c>
      <c r="N155" s="26">
        <v>0</v>
      </c>
      <c r="O155" s="26">
        <v>0</v>
      </c>
      <c r="P155" s="23">
        <v>0</v>
      </c>
      <c r="Q155" s="25">
        <f t="shared" si="147"/>
        <v>0</v>
      </c>
      <c r="R155" s="26">
        <v>0</v>
      </c>
      <c r="S155" s="26">
        <v>0</v>
      </c>
      <c r="T155" s="26">
        <v>0</v>
      </c>
      <c r="U155" s="23">
        <v>0</v>
      </c>
      <c r="V155" s="15">
        <f t="shared" si="143"/>
        <v>0</v>
      </c>
      <c r="W155" s="26">
        <v>0</v>
      </c>
      <c r="X155" s="26">
        <v>0</v>
      </c>
      <c r="Y155" s="26">
        <v>0</v>
      </c>
      <c r="Z155" s="23">
        <v>0</v>
      </c>
      <c r="AA155" s="15">
        <f t="shared" si="144"/>
        <v>0</v>
      </c>
      <c r="AB155" s="26">
        <v>0</v>
      </c>
      <c r="AC155" s="26">
        <v>0</v>
      </c>
      <c r="AD155" s="26">
        <v>0</v>
      </c>
      <c r="AE155" s="23">
        <v>0</v>
      </c>
      <c r="AF155" s="15">
        <f t="shared" si="145"/>
        <v>0</v>
      </c>
      <c r="AG155" s="26">
        <v>0</v>
      </c>
      <c r="AH155" s="26">
        <v>0</v>
      </c>
      <c r="AI155" s="26">
        <v>0</v>
      </c>
      <c r="AJ155" s="23">
        <v>0</v>
      </c>
      <c r="AK155" s="15">
        <f t="shared" si="137"/>
        <v>0</v>
      </c>
      <c r="AL155" s="26">
        <f t="shared" si="133"/>
        <v>0</v>
      </c>
      <c r="AM155" s="26">
        <f t="shared" si="133"/>
        <v>0</v>
      </c>
      <c r="AN155" s="26">
        <f t="shared" si="128"/>
        <v>0</v>
      </c>
      <c r="AO155" s="23">
        <v>0</v>
      </c>
      <c r="AP155" s="15">
        <f t="shared" si="138"/>
        <v>0</v>
      </c>
      <c r="AQ155" s="26">
        <f t="shared" si="134"/>
        <v>0</v>
      </c>
      <c r="AR155" s="26">
        <f t="shared" si="134"/>
        <v>0</v>
      </c>
      <c r="AS155" s="26">
        <f t="shared" si="121"/>
        <v>0</v>
      </c>
      <c r="AT155" s="23">
        <v>0</v>
      </c>
      <c r="AU155" s="15">
        <f t="shared" si="139"/>
        <v>0</v>
      </c>
      <c r="AV155" s="26">
        <f t="shared" si="135"/>
        <v>0</v>
      </c>
      <c r="AW155" s="26">
        <f t="shared" si="135"/>
        <v>0</v>
      </c>
      <c r="AX155" s="26">
        <f t="shared" si="129"/>
        <v>0</v>
      </c>
      <c r="AY155" s="26"/>
      <c r="AZ155" s="15">
        <f t="shared" si="146"/>
        <v>0</v>
      </c>
      <c r="BA155" s="26">
        <f t="shared" si="136"/>
        <v>0</v>
      </c>
      <c r="BB155" s="26">
        <f t="shared" si="136"/>
        <v>0</v>
      </c>
      <c r="BC155" s="26">
        <f t="shared" si="131"/>
        <v>0</v>
      </c>
      <c r="BD155" s="23">
        <v>0</v>
      </c>
      <c r="BE155" s="15">
        <f t="shared" si="140"/>
        <v>0</v>
      </c>
      <c r="BF155" s="26">
        <f t="shared" si="123"/>
        <v>0</v>
      </c>
      <c r="BG155" s="26">
        <f t="shared" si="123"/>
        <v>0</v>
      </c>
      <c r="BH155" s="26">
        <f t="shared" si="124"/>
        <v>0</v>
      </c>
      <c r="BI155" s="23">
        <v>0</v>
      </c>
      <c r="BJ155" s="15">
        <f t="shared" si="141"/>
        <v>0</v>
      </c>
      <c r="BK155" s="26">
        <f t="shared" si="125"/>
        <v>0</v>
      </c>
      <c r="BL155" s="26">
        <f t="shared" si="125"/>
        <v>0</v>
      </c>
      <c r="BM155" s="26">
        <f t="shared" si="132"/>
        <v>0</v>
      </c>
      <c r="BN155" s="26">
        <f t="shared" si="126"/>
        <v>0</v>
      </c>
      <c r="BO155" s="15">
        <f t="shared" si="142"/>
        <v>0</v>
      </c>
      <c r="BP155" s="20"/>
      <c r="BQ155" s="18"/>
    </row>
    <row r="156" spans="1:69" s="19" customFormat="1" ht="15">
      <c r="A156" s="21">
        <v>3402</v>
      </c>
      <c r="B156" s="2" t="s">
        <v>109</v>
      </c>
      <c r="C156" s="23">
        <v>0</v>
      </c>
      <c r="D156" s="23">
        <v>0</v>
      </c>
      <c r="E156" s="23">
        <v>0</v>
      </c>
      <c r="F156" s="23">
        <v>0</v>
      </c>
      <c r="G156" s="15">
        <f t="shared" si="127"/>
        <v>0</v>
      </c>
      <c r="H156" s="26">
        <v>0</v>
      </c>
      <c r="I156" s="26">
        <v>0</v>
      </c>
      <c r="J156" s="26">
        <v>0</v>
      </c>
      <c r="K156" s="23">
        <v>0</v>
      </c>
      <c r="L156" s="15">
        <f t="shared" si="118"/>
        <v>0</v>
      </c>
      <c r="M156" s="26">
        <v>0</v>
      </c>
      <c r="N156" s="26">
        <v>0</v>
      </c>
      <c r="O156" s="26">
        <v>0</v>
      </c>
      <c r="P156" s="23">
        <v>0</v>
      </c>
      <c r="Q156" s="25">
        <f t="shared" si="147"/>
        <v>0</v>
      </c>
      <c r="R156" s="26">
        <v>0</v>
      </c>
      <c r="S156" s="26">
        <v>0</v>
      </c>
      <c r="T156" s="26">
        <v>0</v>
      </c>
      <c r="U156" s="23">
        <v>0</v>
      </c>
      <c r="V156" s="15">
        <f t="shared" si="143"/>
        <v>0</v>
      </c>
      <c r="W156" s="26">
        <v>0</v>
      </c>
      <c r="X156" s="26">
        <v>0</v>
      </c>
      <c r="Y156" s="26">
        <v>0</v>
      </c>
      <c r="Z156" s="23">
        <v>0</v>
      </c>
      <c r="AA156" s="15">
        <f t="shared" si="144"/>
        <v>0</v>
      </c>
      <c r="AB156" s="26">
        <v>0</v>
      </c>
      <c r="AC156" s="26">
        <v>0</v>
      </c>
      <c r="AD156" s="26">
        <v>0</v>
      </c>
      <c r="AE156" s="23">
        <v>0</v>
      </c>
      <c r="AF156" s="15">
        <f t="shared" si="145"/>
        <v>0</v>
      </c>
      <c r="AG156" s="26">
        <v>0</v>
      </c>
      <c r="AH156" s="26">
        <v>0</v>
      </c>
      <c r="AI156" s="26">
        <v>0</v>
      </c>
      <c r="AJ156" s="23">
        <v>0</v>
      </c>
      <c r="AK156" s="15">
        <f t="shared" si="137"/>
        <v>0</v>
      </c>
      <c r="AL156" s="26">
        <f t="shared" si="133"/>
        <v>0</v>
      </c>
      <c r="AM156" s="26">
        <f t="shared" si="133"/>
        <v>0</v>
      </c>
      <c r="AN156" s="26">
        <f t="shared" si="128"/>
        <v>0</v>
      </c>
      <c r="AO156" s="23">
        <v>0</v>
      </c>
      <c r="AP156" s="15">
        <f t="shared" si="138"/>
        <v>0</v>
      </c>
      <c r="AQ156" s="26">
        <f t="shared" si="134"/>
        <v>0</v>
      </c>
      <c r="AR156" s="26">
        <f t="shared" si="134"/>
        <v>0</v>
      </c>
      <c r="AS156" s="26">
        <f t="shared" si="121"/>
        <v>0</v>
      </c>
      <c r="AT156" s="23">
        <v>0</v>
      </c>
      <c r="AU156" s="15">
        <f t="shared" si="139"/>
        <v>0</v>
      </c>
      <c r="AV156" s="26">
        <f t="shared" si="135"/>
        <v>0</v>
      </c>
      <c r="AW156" s="26">
        <f t="shared" si="135"/>
        <v>0</v>
      </c>
      <c r="AX156" s="26">
        <f t="shared" si="129"/>
        <v>0</v>
      </c>
      <c r="AY156" s="26"/>
      <c r="AZ156" s="15">
        <f t="shared" si="146"/>
        <v>0</v>
      </c>
      <c r="BA156" s="26">
        <f t="shared" si="136"/>
        <v>0</v>
      </c>
      <c r="BB156" s="26">
        <f t="shared" si="136"/>
        <v>0</v>
      </c>
      <c r="BC156" s="26">
        <f t="shared" si="131"/>
        <v>0</v>
      </c>
      <c r="BD156" s="23">
        <v>0</v>
      </c>
      <c r="BE156" s="15">
        <f t="shared" si="140"/>
        <v>0</v>
      </c>
      <c r="BF156" s="26">
        <f t="shared" si="123"/>
        <v>0</v>
      </c>
      <c r="BG156" s="26">
        <f t="shared" si="123"/>
        <v>0</v>
      </c>
      <c r="BH156" s="26">
        <f t="shared" si="124"/>
        <v>0</v>
      </c>
      <c r="BI156" s="23">
        <v>0</v>
      </c>
      <c r="BJ156" s="15">
        <f t="shared" si="141"/>
        <v>0</v>
      </c>
      <c r="BK156" s="26">
        <f t="shared" si="125"/>
        <v>0</v>
      </c>
      <c r="BL156" s="26">
        <f t="shared" si="125"/>
        <v>0</v>
      </c>
      <c r="BM156" s="26">
        <f t="shared" si="132"/>
        <v>0</v>
      </c>
      <c r="BN156" s="26">
        <f t="shared" si="126"/>
        <v>0</v>
      </c>
      <c r="BO156" s="15">
        <f t="shared" si="142"/>
        <v>0</v>
      </c>
      <c r="BP156" s="20"/>
      <c r="BQ156" s="18"/>
    </row>
    <row r="157" spans="1:69" s="19" customFormat="1" ht="15">
      <c r="A157" s="21">
        <v>3425</v>
      </c>
      <c r="B157" s="2" t="s">
        <v>205</v>
      </c>
      <c r="C157" s="23">
        <v>0</v>
      </c>
      <c r="D157" s="23">
        <v>2.17</v>
      </c>
      <c r="E157" s="23">
        <v>0</v>
      </c>
      <c r="F157" s="23">
        <v>0</v>
      </c>
      <c r="G157" s="15">
        <f t="shared" si="127"/>
        <v>2.17</v>
      </c>
      <c r="H157" s="26">
        <v>0</v>
      </c>
      <c r="I157" s="26">
        <v>2.1</v>
      </c>
      <c r="J157" s="26">
        <v>0</v>
      </c>
      <c r="K157" s="23">
        <v>0</v>
      </c>
      <c r="L157" s="15">
        <f t="shared" si="118"/>
        <v>2.1</v>
      </c>
      <c r="M157" s="26">
        <v>0</v>
      </c>
      <c r="N157" s="26">
        <v>1.89</v>
      </c>
      <c r="O157" s="26">
        <v>0</v>
      </c>
      <c r="P157" s="23">
        <v>0</v>
      </c>
      <c r="Q157" s="25">
        <f t="shared" si="147"/>
        <v>1.89</v>
      </c>
      <c r="R157" s="26">
        <v>0</v>
      </c>
      <c r="S157" s="26">
        <v>2.06</v>
      </c>
      <c r="T157" s="26">
        <v>0</v>
      </c>
      <c r="U157" s="23">
        <v>0</v>
      </c>
      <c r="V157" s="15">
        <f t="shared" si="143"/>
        <v>2.06</v>
      </c>
      <c r="W157" s="26">
        <v>0</v>
      </c>
      <c r="X157" s="26">
        <f>1.5+Y157</f>
        <v>1.59</v>
      </c>
      <c r="Y157" s="26">
        <v>0.09</v>
      </c>
      <c r="Z157" s="23">
        <v>0</v>
      </c>
      <c r="AA157" s="15">
        <f t="shared" si="144"/>
        <v>1.59</v>
      </c>
      <c r="AB157" s="26">
        <v>0</v>
      </c>
      <c r="AC157" s="1">
        <v>1.53</v>
      </c>
      <c r="AD157" s="26">
        <v>0</v>
      </c>
      <c r="AE157" s="23">
        <v>0</v>
      </c>
      <c r="AF157" s="15">
        <f t="shared" si="145"/>
        <v>1.53</v>
      </c>
      <c r="AG157" s="26">
        <v>0</v>
      </c>
      <c r="AH157" s="1">
        <v>1.74</v>
      </c>
      <c r="AI157" s="26">
        <v>0</v>
      </c>
      <c r="AJ157" s="23">
        <v>0</v>
      </c>
      <c r="AK157" s="15">
        <f t="shared" si="137"/>
        <v>1.74</v>
      </c>
      <c r="AL157" s="26">
        <f t="shared" si="133"/>
        <v>0</v>
      </c>
      <c r="AM157" s="26">
        <f t="shared" si="133"/>
        <v>1.74</v>
      </c>
      <c r="AN157" s="26">
        <f t="shared" si="128"/>
        <v>0</v>
      </c>
      <c r="AO157" s="23">
        <v>0</v>
      </c>
      <c r="AP157" s="15">
        <f t="shared" si="138"/>
        <v>1.74</v>
      </c>
      <c r="AQ157" s="26">
        <f t="shared" si="134"/>
        <v>0</v>
      </c>
      <c r="AR157" s="26">
        <f t="shared" si="134"/>
        <v>1.74</v>
      </c>
      <c r="AS157" s="26">
        <f t="shared" si="121"/>
        <v>0</v>
      </c>
      <c r="AT157" s="23">
        <v>0</v>
      </c>
      <c r="AU157" s="15">
        <f t="shared" si="139"/>
        <v>1.74</v>
      </c>
      <c r="AV157" s="26">
        <f t="shared" si="135"/>
        <v>0</v>
      </c>
      <c r="AW157" s="26">
        <f t="shared" si="135"/>
        <v>1.74</v>
      </c>
      <c r="AX157" s="26">
        <f t="shared" si="129"/>
        <v>0</v>
      </c>
      <c r="AY157" s="26"/>
      <c r="AZ157" s="15">
        <f t="shared" si="146"/>
        <v>1.74</v>
      </c>
      <c r="BA157" s="26">
        <f t="shared" si="136"/>
        <v>0</v>
      </c>
      <c r="BB157" s="26">
        <f t="shared" si="136"/>
        <v>1.74</v>
      </c>
      <c r="BC157" s="26">
        <f t="shared" si="131"/>
        <v>0</v>
      </c>
      <c r="BD157" s="23">
        <v>0</v>
      </c>
      <c r="BE157" s="15">
        <f t="shared" si="140"/>
        <v>1.74</v>
      </c>
      <c r="BF157" s="26">
        <f t="shared" si="123"/>
        <v>0</v>
      </c>
      <c r="BG157" s="26">
        <f t="shared" si="123"/>
        <v>1.74</v>
      </c>
      <c r="BH157" s="26">
        <f t="shared" si="124"/>
        <v>0</v>
      </c>
      <c r="BI157" s="23">
        <v>0</v>
      </c>
      <c r="BJ157" s="15">
        <f t="shared" si="141"/>
        <v>1.74</v>
      </c>
      <c r="BK157" s="26">
        <f t="shared" si="125"/>
        <v>0</v>
      </c>
      <c r="BL157" s="26">
        <f t="shared" si="125"/>
        <v>1.74</v>
      </c>
      <c r="BM157" s="26">
        <f t="shared" si="132"/>
        <v>0</v>
      </c>
      <c r="BN157" s="26">
        <f t="shared" si="126"/>
        <v>0</v>
      </c>
      <c r="BO157" s="15">
        <f t="shared" si="142"/>
        <v>1.74</v>
      </c>
      <c r="BP157" s="20"/>
      <c r="BQ157" s="18"/>
    </row>
    <row r="158" spans="1:69" s="19" customFormat="1" ht="15">
      <c r="A158" s="21">
        <v>3435</v>
      </c>
      <c r="B158" s="2" t="s">
        <v>223</v>
      </c>
      <c r="C158" s="23">
        <v>0</v>
      </c>
      <c r="D158" s="23">
        <f>0.52+E158</f>
        <v>0.87</v>
      </c>
      <c r="E158" s="23">
        <v>0.35</v>
      </c>
      <c r="F158" s="23">
        <v>0</v>
      </c>
      <c r="G158" s="15">
        <f t="shared" si="127"/>
        <v>0.87</v>
      </c>
      <c r="H158" s="26">
        <v>0</v>
      </c>
      <c r="I158" s="26">
        <f>0.53+J158</f>
        <v>1</v>
      </c>
      <c r="J158" s="26">
        <v>0.47</v>
      </c>
      <c r="K158" s="23">
        <v>0</v>
      </c>
      <c r="L158" s="15">
        <f t="shared" si="118"/>
        <v>1</v>
      </c>
      <c r="M158" s="26">
        <v>0</v>
      </c>
      <c r="N158" s="26">
        <f>0.54+O158</f>
        <v>1.35</v>
      </c>
      <c r="O158" s="26">
        <v>0.81</v>
      </c>
      <c r="P158" s="23">
        <v>0</v>
      </c>
      <c r="Q158" s="25">
        <f t="shared" si="147"/>
        <v>1.35</v>
      </c>
      <c r="R158" s="26">
        <v>0.15</v>
      </c>
      <c r="S158" s="26">
        <f>0.2+T158</f>
        <v>0.44</v>
      </c>
      <c r="T158" s="26">
        <v>0.24</v>
      </c>
      <c r="U158" s="23">
        <v>0</v>
      </c>
      <c r="V158" s="15">
        <f t="shared" si="143"/>
        <v>0.59</v>
      </c>
      <c r="W158" s="26">
        <v>0</v>
      </c>
      <c r="X158" s="26">
        <f>0.35+Y158</f>
        <v>1.23</v>
      </c>
      <c r="Y158" s="26">
        <v>0.88</v>
      </c>
      <c r="Z158" s="23">
        <v>0</v>
      </c>
      <c r="AA158" s="15">
        <f t="shared" si="144"/>
        <v>1.23</v>
      </c>
      <c r="AB158" s="26">
        <v>0</v>
      </c>
      <c r="AC158" s="1">
        <v>1.63</v>
      </c>
      <c r="AD158" s="26">
        <v>0</v>
      </c>
      <c r="AE158" s="23">
        <v>0</v>
      </c>
      <c r="AF158" s="15">
        <f t="shared" si="145"/>
        <v>1.63</v>
      </c>
      <c r="AG158" s="26">
        <v>0</v>
      </c>
      <c r="AH158" s="1">
        <v>0.94</v>
      </c>
      <c r="AI158" s="26">
        <v>0.55</v>
      </c>
      <c r="AJ158" s="23">
        <v>0</v>
      </c>
      <c r="AK158" s="15">
        <f t="shared" si="137"/>
        <v>0.94</v>
      </c>
      <c r="AL158" s="26">
        <f t="shared" si="133"/>
        <v>0</v>
      </c>
      <c r="AM158" s="26">
        <f t="shared" si="133"/>
        <v>0.94</v>
      </c>
      <c r="AN158" s="26">
        <f t="shared" si="128"/>
        <v>0.55</v>
      </c>
      <c r="AO158" s="23">
        <v>0</v>
      </c>
      <c r="AP158" s="15">
        <f t="shared" si="138"/>
        <v>0.94</v>
      </c>
      <c r="AQ158" s="26">
        <f t="shared" si="134"/>
        <v>0</v>
      </c>
      <c r="AR158" s="26">
        <f t="shared" si="134"/>
        <v>0.94</v>
      </c>
      <c r="AS158" s="26">
        <f t="shared" si="121"/>
        <v>0.55</v>
      </c>
      <c r="AT158" s="23">
        <v>0</v>
      </c>
      <c r="AU158" s="15">
        <f t="shared" si="139"/>
        <v>0.94</v>
      </c>
      <c r="AV158" s="26">
        <f t="shared" si="135"/>
        <v>0</v>
      </c>
      <c r="AW158" s="26">
        <f t="shared" si="135"/>
        <v>0.94</v>
      </c>
      <c r="AX158" s="26">
        <f t="shared" si="129"/>
        <v>0.55</v>
      </c>
      <c r="AY158" s="26"/>
      <c r="AZ158" s="15">
        <f t="shared" si="146"/>
        <v>0.94</v>
      </c>
      <c r="BA158" s="26">
        <f t="shared" si="136"/>
        <v>0</v>
      </c>
      <c r="BB158" s="26">
        <f t="shared" si="136"/>
        <v>0.94</v>
      </c>
      <c r="BC158" s="26">
        <f t="shared" si="131"/>
        <v>0.55</v>
      </c>
      <c r="BD158" s="23">
        <v>0</v>
      </c>
      <c r="BE158" s="15">
        <f t="shared" si="140"/>
        <v>0.94</v>
      </c>
      <c r="BF158" s="26">
        <f t="shared" si="123"/>
        <v>0</v>
      </c>
      <c r="BG158" s="26">
        <f t="shared" si="123"/>
        <v>0.94</v>
      </c>
      <c r="BH158" s="26">
        <f t="shared" si="124"/>
        <v>0.55</v>
      </c>
      <c r="BI158" s="23">
        <v>0</v>
      </c>
      <c r="BJ158" s="15">
        <f t="shared" si="141"/>
        <v>0.94</v>
      </c>
      <c r="BK158" s="26">
        <f t="shared" si="125"/>
        <v>0</v>
      </c>
      <c r="BL158" s="26">
        <f t="shared" si="125"/>
        <v>0.94</v>
      </c>
      <c r="BM158" s="26">
        <f t="shared" si="132"/>
        <v>0.55</v>
      </c>
      <c r="BN158" s="26">
        <f t="shared" si="126"/>
        <v>0</v>
      </c>
      <c r="BO158" s="15">
        <f t="shared" si="142"/>
        <v>0.94</v>
      </c>
      <c r="BP158" s="20"/>
      <c r="BQ158" s="18"/>
    </row>
    <row r="159" spans="1:69" s="19" customFormat="1" ht="15">
      <c r="A159" s="21">
        <v>3451</v>
      </c>
      <c r="B159" s="2" t="s">
        <v>206</v>
      </c>
      <c r="C159" s="23">
        <v>0.25</v>
      </c>
      <c r="D159" s="23">
        <v>3.55</v>
      </c>
      <c r="E159" s="23">
        <v>0</v>
      </c>
      <c r="F159" s="23">
        <v>0</v>
      </c>
      <c r="G159" s="15">
        <f t="shared" si="127"/>
        <v>3.8</v>
      </c>
      <c r="H159" s="26">
        <v>0.2</v>
      </c>
      <c r="I159" s="26">
        <v>4.39</v>
      </c>
      <c r="J159" s="26">
        <v>0</v>
      </c>
      <c r="K159" s="23">
        <v>0</v>
      </c>
      <c r="L159" s="15">
        <f t="shared" si="118"/>
        <v>4.59</v>
      </c>
      <c r="M159" s="26">
        <v>0.47</v>
      </c>
      <c r="N159" s="26">
        <v>4.31</v>
      </c>
      <c r="O159" s="26">
        <v>0</v>
      </c>
      <c r="P159" s="23">
        <v>0</v>
      </c>
      <c r="Q159" s="25">
        <f t="shared" si="147"/>
        <v>4.779999999999999</v>
      </c>
      <c r="R159" s="26">
        <v>0.4</v>
      </c>
      <c r="S159" s="26">
        <f>3.32+T159</f>
        <v>3.4</v>
      </c>
      <c r="T159" s="26">
        <v>0.08</v>
      </c>
      <c r="U159" s="23">
        <v>0</v>
      </c>
      <c r="V159" s="15">
        <f t="shared" si="143"/>
        <v>3.8</v>
      </c>
      <c r="W159" s="26">
        <v>0.42</v>
      </c>
      <c r="X159" s="26">
        <v>5.77</v>
      </c>
      <c r="Y159" s="26">
        <v>0</v>
      </c>
      <c r="Z159" s="23">
        <v>0</v>
      </c>
      <c r="AA159" s="15">
        <f t="shared" si="144"/>
        <v>6.1899999999999995</v>
      </c>
      <c r="AB159" s="1">
        <v>0.52</v>
      </c>
      <c r="AC159" s="1">
        <v>5.96</v>
      </c>
      <c r="AD159" s="26">
        <v>0</v>
      </c>
      <c r="AE159" s="23">
        <v>0</v>
      </c>
      <c r="AF159" s="15">
        <f t="shared" si="145"/>
        <v>6.48</v>
      </c>
      <c r="AG159" s="1">
        <v>0.57</v>
      </c>
      <c r="AH159" s="1">
        <v>5.97</v>
      </c>
      <c r="AI159" s="26">
        <v>0</v>
      </c>
      <c r="AJ159" s="23">
        <v>0</v>
      </c>
      <c r="AK159" s="15">
        <f t="shared" si="137"/>
        <v>6.54</v>
      </c>
      <c r="AL159" s="26">
        <f t="shared" si="133"/>
        <v>0.6639286037618914</v>
      </c>
      <c r="AM159" s="26">
        <f t="shared" si="133"/>
        <v>6.6416249999999994</v>
      </c>
      <c r="AN159" s="26">
        <f t="shared" si="128"/>
        <v>0</v>
      </c>
      <c r="AO159" s="23">
        <v>0</v>
      </c>
      <c r="AP159" s="15">
        <f t="shared" si="138"/>
        <v>7.305553603761891</v>
      </c>
      <c r="AQ159" s="26">
        <f t="shared" si="134"/>
        <v>0.7733354226196749</v>
      </c>
      <c r="AR159" s="26">
        <f t="shared" si="134"/>
        <v>7.3888078125</v>
      </c>
      <c r="AS159" s="26">
        <f t="shared" si="121"/>
        <v>0</v>
      </c>
      <c r="AT159" s="23">
        <v>0</v>
      </c>
      <c r="AU159" s="15">
        <f t="shared" si="139"/>
        <v>8.162143235119675</v>
      </c>
      <c r="AV159" s="26">
        <f t="shared" si="135"/>
        <v>0.9007710655780581</v>
      </c>
      <c r="AW159" s="26">
        <f t="shared" si="135"/>
        <v>8.22004869140625</v>
      </c>
      <c r="AX159" s="26">
        <f t="shared" si="129"/>
        <v>0</v>
      </c>
      <c r="AY159" s="26"/>
      <c r="AZ159" s="15">
        <f t="shared" si="146"/>
        <v>9.120819756984307</v>
      </c>
      <c r="BA159" s="26">
        <f t="shared" si="136"/>
        <v>1.0492064489093884</v>
      </c>
      <c r="BB159" s="26">
        <f t="shared" si="136"/>
        <v>9.144804169189452</v>
      </c>
      <c r="BC159" s="26">
        <f t="shared" si="131"/>
        <v>0</v>
      </c>
      <c r="BD159" s="23">
        <v>0</v>
      </c>
      <c r="BE159" s="15">
        <f t="shared" si="140"/>
        <v>10.19401061809884</v>
      </c>
      <c r="BF159" s="26">
        <f t="shared" si="123"/>
        <v>1.2221020573375134</v>
      </c>
      <c r="BG159" s="26">
        <f t="shared" si="123"/>
        <v>10.173594638223266</v>
      </c>
      <c r="BH159" s="26">
        <f t="shared" si="124"/>
        <v>0</v>
      </c>
      <c r="BI159" s="23">
        <v>0</v>
      </c>
      <c r="BJ159" s="15">
        <f t="shared" si="141"/>
        <v>11.39569669556078</v>
      </c>
      <c r="BK159" s="26">
        <f t="shared" si="125"/>
        <v>1.4234886185660183</v>
      </c>
      <c r="BL159" s="26">
        <f t="shared" si="125"/>
        <v>11.318124035023382</v>
      </c>
      <c r="BM159" s="26">
        <f t="shared" si="132"/>
        <v>0</v>
      </c>
      <c r="BN159" s="26">
        <f t="shared" si="126"/>
        <v>0</v>
      </c>
      <c r="BO159" s="15">
        <f t="shared" si="142"/>
        <v>12.741612653589401</v>
      </c>
      <c r="BP159" s="20">
        <v>0.16478702414366936</v>
      </c>
      <c r="BQ159" s="18">
        <v>0.1125</v>
      </c>
    </row>
    <row r="160" spans="1:69" s="19" customFormat="1" ht="15">
      <c r="A160" s="21">
        <v>3452</v>
      </c>
      <c r="B160" s="2" t="s">
        <v>207</v>
      </c>
      <c r="C160" s="23">
        <v>1.61</v>
      </c>
      <c r="D160" s="23">
        <f>5.6+E160</f>
        <v>6.289999999999999</v>
      </c>
      <c r="E160" s="23">
        <v>0.69</v>
      </c>
      <c r="F160" s="23">
        <v>0</v>
      </c>
      <c r="G160" s="15">
        <f t="shared" si="127"/>
        <v>7.8999999999999995</v>
      </c>
      <c r="H160" s="26">
        <v>3.48</v>
      </c>
      <c r="I160" s="26">
        <f>5.17+J160</f>
        <v>5.21</v>
      </c>
      <c r="J160" s="26">
        <v>0.04</v>
      </c>
      <c r="K160" s="23">
        <v>0</v>
      </c>
      <c r="L160" s="15">
        <f t="shared" si="118"/>
        <v>8.69</v>
      </c>
      <c r="M160" s="26">
        <v>3.22</v>
      </c>
      <c r="N160" s="26">
        <f>9.71+O160</f>
        <v>9.760000000000002</v>
      </c>
      <c r="O160" s="26">
        <v>0.05</v>
      </c>
      <c r="P160" s="23">
        <v>0</v>
      </c>
      <c r="Q160" s="25">
        <f t="shared" si="147"/>
        <v>12.980000000000002</v>
      </c>
      <c r="R160" s="26">
        <v>4.13</v>
      </c>
      <c r="S160" s="26">
        <f>7.16+T160</f>
        <v>7.18</v>
      </c>
      <c r="T160" s="26">
        <v>0.02</v>
      </c>
      <c r="U160" s="23">
        <v>0</v>
      </c>
      <c r="V160" s="15">
        <f t="shared" si="143"/>
        <v>11.309999999999999</v>
      </c>
      <c r="W160" s="26">
        <v>3.93</v>
      </c>
      <c r="X160" s="26">
        <f>4.59+Y160</f>
        <v>4.99</v>
      </c>
      <c r="Y160" s="26">
        <v>0.4</v>
      </c>
      <c r="Z160" s="23">
        <v>0</v>
      </c>
      <c r="AA160" s="15">
        <f t="shared" si="144"/>
        <v>8.92</v>
      </c>
      <c r="AB160" s="1">
        <v>4.05</v>
      </c>
      <c r="AC160" s="1">
        <v>10.48</v>
      </c>
      <c r="AD160" s="26">
        <v>0</v>
      </c>
      <c r="AE160" s="23">
        <v>0</v>
      </c>
      <c r="AF160" s="15">
        <f t="shared" si="145"/>
        <v>14.530000000000001</v>
      </c>
      <c r="AG160" s="1">
        <v>5.08</v>
      </c>
      <c r="AH160" s="1">
        <v>6.89</v>
      </c>
      <c r="AI160" s="26">
        <v>0</v>
      </c>
      <c r="AJ160" s="23">
        <v>0</v>
      </c>
      <c r="AK160" s="15">
        <f t="shared" si="137"/>
        <v>11.969999999999999</v>
      </c>
      <c r="AL160" s="26">
        <f t="shared" si="133"/>
        <v>5.849625465421635</v>
      </c>
      <c r="AM160" s="26">
        <f t="shared" si="133"/>
        <v>7.665125</v>
      </c>
      <c r="AN160" s="26">
        <f t="shared" si="128"/>
        <v>0</v>
      </c>
      <c r="AO160" s="23">
        <v>0</v>
      </c>
      <c r="AP160" s="15">
        <f t="shared" si="138"/>
        <v>13.514750465421635</v>
      </c>
      <c r="AQ160" s="26">
        <f t="shared" si="134"/>
        <v>6.735850016871906</v>
      </c>
      <c r="AR160" s="26">
        <f t="shared" si="134"/>
        <v>8.5274515625</v>
      </c>
      <c r="AS160" s="26">
        <f t="shared" si="121"/>
        <v>0</v>
      </c>
      <c r="AT160" s="23">
        <v>0</v>
      </c>
      <c r="AU160" s="15">
        <f t="shared" si="139"/>
        <v>15.263301579371905</v>
      </c>
      <c r="AV160" s="26">
        <f t="shared" si="135"/>
        <v>7.756338541329655</v>
      </c>
      <c r="AW160" s="26">
        <f t="shared" si="135"/>
        <v>9.486789863281249</v>
      </c>
      <c r="AX160" s="26">
        <f t="shared" si="129"/>
        <v>0</v>
      </c>
      <c r="AY160" s="26"/>
      <c r="AZ160" s="15">
        <f t="shared" si="146"/>
        <v>17.243128404610903</v>
      </c>
      <c r="BA160" s="26">
        <f t="shared" si="136"/>
        <v>8.931432175156152</v>
      </c>
      <c r="BB160" s="26">
        <f t="shared" si="136"/>
        <v>10.55405372290039</v>
      </c>
      <c r="BC160" s="26">
        <f t="shared" si="131"/>
        <v>0</v>
      </c>
      <c r="BD160" s="23">
        <v>0</v>
      </c>
      <c r="BE160" s="15">
        <f t="shared" si="140"/>
        <v>19.48548589805654</v>
      </c>
      <c r="BF160" s="26">
        <f t="shared" si="123"/>
        <v>10.28455375875582</v>
      </c>
      <c r="BG160" s="26">
        <f t="shared" si="123"/>
        <v>11.741384766726684</v>
      </c>
      <c r="BH160" s="26">
        <f t="shared" si="124"/>
        <v>0</v>
      </c>
      <c r="BI160" s="23">
        <v>0</v>
      </c>
      <c r="BJ160" s="15">
        <f t="shared" si="141"/>
        <v>22.025938525482502</v>
      </c>
      <c r="BK160" s="26">
        <f t="shared" si="125"/>
        <v>11.842674718054298</v>
      </c>
      <c r="BL160" s="26">
        <f t="shared" si="125"/>
        <v>13.062290552983436</v>
      </c>
      <c r="BM160" s="26">
        <f t="shared" si="132"/>
        <v>0</v>
      </c>
      <c r="BN160" s="26">
        <f t="shared" si="126"/>
        <v>0</v>
      </c>
      <c r="BO160" s="15">
        <f t="shared" si="142"/>
        <v>24.90496527103773</v>
      </c>
      <c r="BP160" s="20">
        <v>0.15150107587040054</v>
      </c>
      <c r="BQ160" s="18">
        <v>0.1125</v>
      </c>
    </row>
    <row r="161" spans="1:69" s="19" customFormat="1" ht="30">
      <c r="A161" s="21">
        <v>3453</v>
      </c>
      <c r="B161" s="2" t="s">
        <v>110</v>
      </c>
      <c r="C161" s="23">
        <v>0</v>
      </c>
      <c r="D161" s="23">
        <v>0</v>
      </c>
      <c r="E161" s="23">
        <v>0</v>
      </c>
      <c r="F161" s="23">
        <v>0</v>
      </c>
      <c r="G161" s="15">
        <f t="shared" si="127"/>
        <v>0</v>
      </c>
      <c r="H161" s="26">
        <v>0</v>
      </c>
      <c r="I161" s="26">
        <v>0</v>
      </c>
      <c r="J161" s="26">
        <v>0</v>
      </c>
      <c r="K161" s="23">
        <v>0</v>
      </c>
      <c r="L161" s="15">
        <f t="shared" si="118"/>
        <v>0</v>
      </c>
      <c r="M161" s="26">
        <v>0</v>
      </c>
      <c r="N161" s="26">
        <v>0</v>
      </c>
      <c r="O161" s="26">
        <v>0</v>
      </c>
      <c r="P161" s="23">
        <v>0</v>
      </c>
      <c r="Q161" s="25">
        <f t="shared" si="147"/>
        <v>0</v>
      </c>
      <c r="R161" s="26">
        <v>0</v>
      </c>
      <c r="S161" s="26">
        <v>0</v>
      </c>
      <c r="T161" s="26">
        <v>0</v>
      </c>
      <c r="U161" s="23">
        <v>0</v>
      </c>
      <c r="V161" s="15">
        <f t="shared" si="143"/>
        <v>0</v>
      </c>
      <c r="W161" s="26">
        <v>0</v>
      </c>
      <c r="X161" s="26">
        <v>0</v>
      </c>
      <c r="Y161" s="26">
        <v>0</v>
      </c>
      <c r="Z161" s="23">
        <v>0</v>
      </c>
      <c r="AA161" s="15">
        <f t="shared" si="144"/>
        <v>0</v>
      </c>
      <c r="AB161" s="26">
        <v>0</v>
      </c>
      <c r="AC161" s="26">
        <v>0</v>
      </c>
      <c r="AD161" s="26">
        <v>0</v>
      </c>
      <c r="AE161" s="23">
        <v>0</v>
      </c>
      <c r="AF161" s="15">
        <f t="shared" si="145"/>
        <v>0</v>
      </c>
      <c r="AG161" s="26">
        <v>0</v>
      </c>
      <c r="AH161" s="26">
        <v>0</v>
      </c>
      <c r="AI161" s="26">
        <v>0</v>
      </c>
      <c r="AJ161" s="23">
        <v>0</v>
      </c>
      <c r="AK161" s="15">
        <f t="shared" si="137"/>
        <v>0</v>
      </c>
      <c r="AL161" s="26">
        <f t="shared" si="133"/>
        <v>0</v>
      </c>
      <c r="AM161" s="26">
        <f t="shared" si="133"/>
        <v>0</v>
      </c>
      <c r="AN161" s="26">
        <f t="shared" si="128"/>
        <v>0</v>
      </c>
      <c r="AO161" s="23">
        <v>0</v>
      </c>
      <c r="AP161" s="15">
        <f t="shared" si="138"/>
        <v>0</v>
      </c>
      <c r="AQ161" s="26">
        <f t="shared" si="134"/>
        <v>0</v>
      </c>
      <c r="AR161" s="26">
        <f t="shared" si="134"/>
        <v>0</v>
      </c>
      <c r="AS161" s="26">
        <f t="shared" si="121"/>
        <v>0</v>
      </c>
      <c r="AT161" s="23">
        <v>0</v>
      </c>
      <c r="AU161" s="15">
        <f t="shared" si="139"/>
        <v>0</v>
      </c>
      <c r="AV161" s="26">
        <f t="shared" si="135"/>
        <v>0</v>
      </c>
      <c r="AW161" s="26">
        <f t="shared" si="135"/>
        <v>0</v>
      </c>
      <c r="AX161" s="26">
        <f t="shared" si="129"/>
        <v>0</v>
      </c>
      <c r="AY161" s="26"/>
      <c r="AZ161" s="15">
        <f t="shared" si="146"/>
        <v>0</v>
      </c>
      <c r="BA161" s="26">
        <f t="shared" si="136"/>
        <v>0</v>
      </c>
      <c r="BB161" s="26">
        <f t="shared" si="136"/>
        <v>0</v>
      </c>
      <c r="BC161" s="26">
        <f t="shared" si="131"/>
        <v>0</v>
      </c>
      <c r="BD161" s="23">
        <v>0</v>
      </c>
      <c r="BE161" s="15">
        <f t="shared" si="140"/>
        <v>0</v>
      </c>
      <c r="BF161" s="26">
        <f t="shared" si="123"/>
        <v>0</v>
      </c>
      <c r="BG161" s="26">
        <f t="shared" si="123"/>
        <v>0</v>
      </c>
      <c r="BH161" s="26">
        <f t="shared" si="124"/>
        <v>0</v>
      </c>
      <c r="BI161" s="23">
        <v>0</v>
      </c>
      <c r="BJ161" s="15">
        <f t="shared" si="141"/>
        <v>0</v>
      </c>
      <c r="BK161" s="26">
        <f t="shared" si="125"/>
        <v>0</v>
      </c>
      <c r="BL161" s="26">
        <f t="shared" si="125"/>
        <v>0</v>
      </c>
      <c r="BM161" s="26">
        <f t="shared" si="132"/>
        <v>0</v>
      </c>
      <c r="BN161" s="26">
        <f t="shared" si="126"/>
        <v>0</v>
      </c>
      <c r="BO161" s="15">
        <f t="shared" si="142"/>
        <v>0</v>
      </c>
      <c r="BP161" s="20"/>
      <c r="BQ161" s="18"/>
    </row>
    <row r="162" spans="1:69" s="19" customFormat="1" ht="30">
      <c r="A162" s="21">
        <v>3454</v>
      </c>
      <c r="B162" s="2" t="s">
        <v>208</v>
      </c>
      <c r="C162" s="23">
        <v>0.46</v>
      </c>
      <c r="D162" s="23">
        <f>2.14+E162</f>
        <v>2.8600000000000003</v>
      </c>
      <c r="E162" s="23">
        <v>0.72</v>
      </c>
      <c r="F162" s="23">
        <v>0</v>
      </c>
      <c r="G162" s="15">
        <f t="shared" si="127"/>
        <v>3.3200000000000003</v>
      </c>
      <c r="H162" s="26">
        <v>1.06</v>
      </c>
      <c r="I162" s="26">
        <f>2.33+J162</f>
        <v>2.9</v>
      </c>
      <c r="J162" s="26">
        <v>0.57</v>
      </c>
      <c r="K162" s="23">
        <v>0</v>
      </c>
      <c r="L162" s="15">
        <f t="shared" si="118"/>
        <v>3.96</v>
      </c>
      <c r="M162" s="26">
        <v>1.35</v>
      </c>
      <c r="N162" s="26">
        <f>3.11+O162</f>
        <v>3.94</v>
      </c>
      <c r="O162" s="26">
        <v>0.83</v>
      </c>
      <c r="P162" s="23">
        <v>0</v>
      </c>
      <c r="Q162" s="25">
        <f t="shared" si="147"/>
        <v>5.29</v>
      </c>
      <c r="R162" s="26">
        <v>1.66</v>
      </c>
      <c r="S162" s="26">
        <f>3.12+T162</f>
        <v>3.84</v>
      </c>
      <c r="T162" s="26">
        <v>0.72</v>
      </c>
      <c r="U162" s="23">
        <v>0</v>
      </c>
      <c r="V162" s="15">
        <f t="shared" si="143"/>
        <v>5.5</v>
      </c>
      <c r="W162" s="26">
        <v>1.46</v>
      </c>
      <c r="X162" s="26">
        <f>2.63+Y162</f>
        <v>3.8899999999999997</v>
      </c>
      <c r="Y162" s="26">
        <v>1.26</v>
      </c>
      <c r="Z162" s="23">
        <v>0</v>
      </c>
      <c r="AA162" s="15">
        <f t="shared" si="144"/>
        <v>5.35</v>
      </c>
      <c r="AB162" s="1">
        <v>2.82</v>
      </c>
      <c r="AC162" s="1">
        <v>9.33</v>
      </c>
      <c r="AD162" s="26">
        <v>0</v>
      </c>
      <c r="AE162" s="23">
        <v>0</v>
      </c>
      <c r="AF162" s="15">
        <f t="shared" si="145"/>
        <v>12.15</v>
      </c>
      <c r="AG162" s="1">
        <v>1.97</v>
      </c>
      <c r="AH162" s="1">
        <v>4.89</v>
      </c>
      <c r="AI162" s="1">
        <v>1.19</v>
      </c>
      <c r="AJ162" s="23">
        <v>0</v>
      </c>
      <c r="AK162" s="15">
        <f t="shared" si="137"/>
        <v>6.859999999999999</v>
      </c>
      <c r="AL162" s="26">
        <f t="shared" si="133"/>
        <v>2.4758100676339048</v>
      </c>
      <c r="AM162" s="26">
        <f t="shared" si="133"/>
        <v>5.440125</v>
      </c>
      <c r="AN162" s="26">
        <f t="shared" si="128"/>
        <v>1.323875</v>
      </c>
      <c r="AO162" s="23">
        <v>0</v>
      </c>
      <c r="AP162" s="15">
        <f t="shared" si="138"/>
        <v>7.915935067633905</v>
      </c>
      <c r="AQ162" s="26">
        <f t="shared" si="134"/>
        <v>3.1114900969529953</v>
      </c>
      <c r="AR162" s="26">
        <f t="shared" si="134"/>
        <v>6.0521390625</v>
      </c>
      <c r="AS162" s="26">
        <f t="shared" si="121"/>
        <v>1.4728109374999998</v>
      </c>
      <c r="AT162" s="23">
        <v>0</v>
      </c>
      <c r="AU162" s="15">
        <f t="shared" si="139"/>
        <v>9.163629159452995</v>
      </c>
      <c r="AV162" s="26">
        <f t="shared" si="135"/>
        <v>3.9103850291266093</v>
      </c>
      <c r="AW162" s="26">
        <f t="shared" si="135"/>
        <v>6.733004707031251</v>
      </c>
      <c r="AX162" s="26">
        <f t="shared" si="129"/>
        <v>1.6385021679687497</v>
      </c>
      <c r="AY162" s="26"/>
      <c r="AZ162" s="15">
        <f t="shared" si="146"/>
        <v>10.64338973615786</v>
      </c>
      <c r="BA162" s="26">
        <f t="shared" si="136"/>
        <v>4.914401331693686</v>
      </c>
      <c r="BB162" s="26">
        <f t="shared" si="136"/>
        <v>7.490467736572266</v>
      </c>
      <c r="BC162" s="26">
        <f t="shared" si="131"/>
        <v>1.822833661865234</v>
      </c>
      <c r="BD162" s="23">
        <v>0</v>
      </c>
      <c r="BE162" s="15">
        <f t="shared" si="140"/>
        <v>12.404869068265953</v>
      </c>
      <c r="BF162" s="26">
        <f t="shared" si="123"/>
        <v>6.176205225076496</v>
      </c>
      <c r="BG162" s="26">
        <f t="shared" si="123"/>
        <v>8.333145356936646</v>
      </c>
      <c r="BH162" s="26">
        <f t="shared" si="124"/>
        <v>2.0279024488250728</v>
      </c>
      <c r="BI162" s="23">
        <v>0</v>
      </c>
      <c r="BJ162" s="15">
        <f t="shared" si="141"/>
        <v>14.509350582013141</v>
      </c>
      <c r="BK162" s="26">
        <f t="shared" si="125"/>
        <v>7.761985317775388</v>
      </c>
      <c r="BL162" s="26">
        <f t="shared" si="125"/>
        <v>9.270624209592018</v>
      </c>
      <c r="BM162" s="26">
        <f t="shared" si="132"/>
        <v>2.2560414743178936</v>
      </c>
      <c r="BN162" s="26">
        <f t="shared" si="126"/>
        <v>0</v>
      </c>
      <c r="BO162" s="15">
        <f t="shared" si="142"/>
        <v>17.032609527367406</v>
      </c>
      <c r="BP162" s="20">
        <v>0.2567563795095964</v>
      </c>
      <c r="BQ162" s="18">
        <v>0.1125</v>
      </c>
    </row>
    <row r="163" spans="1:69" s="19" customFormat="1" ht="15">
      <c r="A163" s="21">
        <v>3456</v>
      </c>
      <c r="B163" s="2" t="s">
        <v>209</v>
      </c>
      <c r="C163" s="23">
        <v>0.2</v>
      </c>
      <c r="D163" s="23">
        <f>0.69+E163</f>
        <v>0.94</v>
      </c>
      <c r="E163" s="23">
        <v>0.25</v>
      </c>
      <c r="F163" s="23">
        <v>0</v>
      </c>
      <c r="G163" s="15">
        <f t="shared" si="127"/>
        <v>1.14</v>
      </c>
      <c r="H163" s="26">
        <v>0.22</v>
      </c>
      <c r="I163" s="26">
        <v>0.82</v>
      </c>
      <c r="J163" s="26">
        <v>0</v>
      </c>
      <c r="K163" s="23">
        <v>0</v>
      </c>
      <c r="L163" s="15">
        <f t="shared" si="118"/>
        <v>1.04</v>
      </c>
      <c r="M163" s="26">
        <v>0.33</v>
      </c>
      <c r="N163" s="26">
        <v>5.73</v>
      </c>
      <c r="O163" s="26">
        <v>0</v>
      </c>
      <c r="P163" s="23">
        <v>0</v>
      </c>
      <c r="Q163" s="25">
        <f t="shared" si="147"/>
        <v>6.0600000000000005</v>
      </c>
      <c r="R163" s="26">
        <v>0.36</v>
      </c>
      <c r="S163" s="26">
        <f>0+T163</f>
        <v>0.26</v>
      </c>
      <c r="T163" s="26">
        <v>0.26</v>
      </c>
      <c r="U163" s="23">
        <v>0</v>
      </c>
      <c r="V163" s="15">
        <f t="shared" si="143"/>
        <v>0.62</v>
      </c>
      <c r="W163" s="26">
        <v>0.44</v>
      </c>
      <c r="X163" s="26">
        <v>0</v>
      </c>
      <c r="Y163" s="26">
        <v>0</v>
      </c>
      <c r="Z163" s="23">
        <v>0</v>
      </c>
      <c r="AA163" s="15">
        <f t="shared" si="144"/>
        <v>0.44</v>
      </c>
      <c r="AB163" s="1">
        <v>0.54</v>
      </c>
      <c r="AC163" s="1"/>
      <c r="AD163" s="26">
        <v>0</v>
      </c>
      <c r="AE163" s="23">
        <v>0</v>
      </c>
      <c r="AF163" s="15">
        <f t="shared" si="145"/>
        <v>0.54</v>
      </c>
      <c r="AG163" s="1">
        <v>0.58</v>
      </c>
      <c r="AH163" s="26">
        <v>0</v>
      </c>
      <c r="AI163" s="26">
        <v>0</v>
      </c>
      <c r="AJ163" s="23">
        <v>0</v>
      </c>
      <c r="AK163" s="15">
        <f t="shared" si="137"/>
        <v>0.58</v>
      </c>
      <c r="AL163" s="26">
        <f aca="true" t="shared" si="148" ref="AL163:AM172">AG163+(AG163*BP163)</f>
        <v>0.7003059415317933</v>
      </c>
      <c r="AM163" s="26">
        <f t="shared" si="148"/>
        <v>0</v>
      </c>
      <c r="AN163" s="26">
        <f t="shared" si="128"/>
        <v>0</v>
      </c>
      <c r="AO163" s="23">
        <v>0</v>
      </c>
      <c r="AP163" s="15">
        <f t="shared" si="138"/>
        <v>0.7003059415317933</v>
      </c>
      <c r="AQ163" s="26">
        <f aca="true" t="shared" si="149" ref="AQ163:AR178">AL163+(AL163*BP163)</f>
        <v>0.8455662271460888</v>
      </c>
      <c r="AR163" s="26">
        <f t="shared" si="149"/>
        <v>0</v>
      </c>
      <c r="AS163" s="26">
        <f aca="true" t="shared" si="150" ref="AS163:AS186">AN163+(AN163*BQ163)</f>
        <v>0</v>
      </c>
      <c r="AT163" s="23">
        <v>0</v>
      </c>
      <c r="AU163" s="15">
        <f t="shared" si="139"/>
        <v>0.8455662271460888</v>
      </c>
      <c r="AV163" s="26">
        <f aca="true" t="shared" si="151" ref="AV163:AW178">AQ163+(AQ163*BP163)</f>
        <v>1.020956987636255</v>
      </c>
      <c r="AW163" s="26">
        <f t="shared" si="151"/>
        <v>0</v>
      </c>
      <c r="AX163" s="26">
        <f t="shared" si="129"/>
        <v>0</v>
      </c>
      <c r="AY163" s="26"/>
      <c r="AZ163" s="15">
        <f t="shared" si="146"/>
        <v>1.020956987636255</v>
      </c>
      <c r="BA163" s="26">
        <f t="shared" si="136"/>
        <v>1.2327280077415017</v>
      </c>
      <c r="BB163" s="26">
        <f t="shared" si="136"/>
        <v>0</v>
      </c>
      <c r="BC163" s="26">
        <f t="shared" si="131"/>
        <v>0</v>
      </c>
      <c r="BD163" s="23">
        <v>0</v>
      </c>
      <c r="BE163" s="15">
        <f t="shared" si="140"/>
        <v>1.2327280077415017</v>
      </c>
      <c r="BF163" s="26">
        <f aca="true" t="shared" si="152" ref="BF163:BG186">BA163+(BA163*BP163)</f>
        <v>1.4884254277828004</v>
      </c>
      <c r="BG163" s="26">
        <f t="shared" si="152"/>
        <v>0</v>
      </c>
      <c r="BH163" s="26">
        <f aca="true" t="shared" si="153" ref="BH163:BH186">BC163+(BC163*BQ163)</f>
        <v>0</v>
      </c>
      <c r="BI163" s="23">
        <v>0</v>
      </c>
      <c r="BJ163" s="15">
        <f t="shared" si="141"/>
        <v>1.4884254277828004</v>
      </c>
      <c r="BK163" s="26">
        <f aca="true" t="shared" si="154" ref="BK163:BL186">BF163+(BF163*BP163)</f>
        <v>1.7971606389712005</v>
      </c>
      <c r="BL163" s="26">
        <f t="shared" si="154"/>
        <v>0</v>
      </c>
      <c r="BM163" s="26">
        <f t="shared" si="132"/>
        <v>0</v>
      </c>
      <c r="BN163" s="26">
        <f aca="true" t="shared" si="155" ref="BN163:BN186">BI163+(BI163*BU163)</f>
        <v>0</v>
      </c>
      <c r="BO163" s="15">
        <f t="shared" si="142"/>
        <v>1.7971606389712005</v>
      </c>
      <c r="BP163" s="20">
        <v>0.20742403712378163</v>
      </c>
      <c r="BQ163" s="18"/>
    </row>
    <row r="164" spans="1:69" s="19" customFormat="1" ht="30">
      <c r="A164" s="21">
        <v>3465</v>
      </c>
      <c r="B164" s="2" t="s">
        <v>111</v>
      </c>
      <c r="C164" s="44">
        <v>0</v>
      </c>
      <c r="D164" s="44">
        <v>0</v>
      </c>
      <c r="E164" s="44">
        <v>0</v>
      </c>
      <c r="F164" s="23">
        <v>0</v>
      </c>
      <c r="G164" s="15">
        <f aca="true" t="shared" si="156" ref="G164:G172">C164+D164</f>
        <v>0</v>
      </c>
      <c r="H164" s="26">
        <v>0</v>
      </c>
      <c r="I164" s="26">
        <v>0</v>
      </c>
      <c r="J164" s="26">
        <v>0</v>
      </c>
      <c r="K164" s="23">
        <v>0</v>
      </c>
      <c r="L164" s="15">
        <f aca="true" t="shared" si="157" ref="L164:L172">H164+I164</f>
        <v>0</v>
      </c>
      <c r="M164" s="26">
        <v>0</v>
      </c>
      <c r="N164" s="26">
        <v>0</v>
      </c>
      <c r="O164" s="26">
        <v>0</v>
      </c>
      <c r="P164" s="23">
        <v>0</v>
      </c>
      <c r="Q164" s="25">
        <f t="shared" si="147"/>
        <v>0</v>
      </c>
      <c r="R164" s="26">
        <v>0</v>
      </c>
      <c r="S164" s="26">
        <v>0</v>
      </c>
      <c r="T164" s="26">
        <v>0</v>
      </c>
      <c r="U164" s="23">
        <v>0</v>
      </c>
      <c r="V164" s="15">
        <f t="shared" si="143"/>
        <v>0</v>
      </c>
      <c r="W164" s="26">
        <v>0</v>
      </c>
      <c r="X164" s="26">
        <v>0</v>
      </c>
      <c r="Y164" s="26">
        <v>0</v>
      </c>
      <c r="Z164" s="23">
        <v>0</v>
      </c>
      <c r="AA164" s="15">
        <f t="shared" si="144"/>
        <v>0</v>
      </c>
      <c r="AB164" s="26">
        <v>0</v>
      </c>
      <c r="AC164" s="26">
        <v>0</v>
      </c>
      <c r="AD164" s="26">
        <v>0</v>
      </c>
      <c r="AE164" s="23">
        <v>0</v>
      </c>
      <c r="AF164" s="15">
        <f t="shared" si="145"/>
        <v>0</v>
      </c>
      <c r="AG164" s="26">
        <v>0</v>
      </c>
      <c r="AH164" s="26">
        <v>0</v>
      </c>
      <c r="AI164" s="26">
        <v>0</v>
      </c>
      <c r="AJ164" s="23">
        <v>0</v>
      </c>
      <c r="AK164" s="15">
        <f t="shared" si="137"/>
        <v>0</v>
      </c>
      <c r="AL164" s="26">
        <f t="shared" si="148"/>
        <v>0</v>
      </c>
      <c r="AM164" s="26">
        <f t="shared" si="148"/>
        <v>0</v>
      </c>
      <c r="AN164" s="26">
        <f aca="true" t="shared" si="158" ref="AN164:AN172">AI164+(AI164*BQ164)</f>
        <v>0</v>
      </c>
      <c r="AO164" s="23">
        <v>0</v>
      </c>
      <c r="AP164" s="15">
        <f t="shared" si="138"/>
        <v>0</v>
      </c>
      <c r="AQ164" s="26">
        <f t="shared" si="149"/>
        <v>0</v>
      </c>
      <c r="AR164" s="26">
        <f t="shared" si="149"/>
        <v>0</v>
      </c>
      <c r="AS164" s="26">
        <f t="shared" si="150"/>
        <v>0</v>
      </c>
      <c r="AT164" s="23">
        <v>0</v>
      </c>
      <c r="AU164" s="15">
        <f t="shared" si="139"/>
        <v>0</v>
      </c>
      <c r="AV164" s="26">
        <f t="shared" si="151"/>
        <v>0</v>
      </c>
      <c r="AW164" s="26">
        <f t="shared" si="151"/>
        <v>0</v>
      </c>
      <c r="AX164" s="26">
        <f aca="true" t="shared" si="159" ref="AX164:AX186">AS164+(AS164*BQ164)</f>
        <v>0</v>
      </c>
      <c r="AY164" s="26"/>
      <c r="AZ164" s="15">
        <f t="shared" si="146"/>
        <v>0</v>
      </c>
      <c r="BA164" s="26">
        <f aca="true" t="shared" si="160" ref="BA164:BB179">AV164+(AV164*BP164)</f>
        <v>0</v>
      </c>
      <c r="BB164" s="26">
        <f t="shared" si="160"/>
        <v>0</v>
      </c>
      <c r="BC164" s="26">
        <f aca="true" t="shared" si="161" ref="BC164:BC186">AX164+(AX164*BQ164)</f>
        <v>0</v>
      </c>
      <c r="BD164" s="23">
        <v>0</v>
      </c>
      <c r="BE164" s="15">
        <f t="shared" si="140"/>
        <v>0</v>
      </c>
      <c r="BF164" s="26">
        <f t="shared" si="152"/>
        <v>0</v>
      </c>
      <c r="BG164" s="26">
        <f t="shared" si="152"/>
        <v>0</v>
      </c>
      <c r="BH164" s="26">
        <f t="shared" si="153"/>
        <v>0</v>
      </c>
      <c r="BI164" s="23">
        <v>0</v>
      </c>
      <c r="BJ164" s="15">
        <f t="shared" si="141"/>
        <v>0</v>
      </c>
      <c r="BK164" s="26">
        <f t="shared" si="154"/>
        <v>0</v>
      </c>
      <c r="BL164" s="26">
        <f t="shared" si="154"/>
        <v>0</v>
      </c>
      <c r="BM164" s="26">
        <f aca="true" t="shared" si="162" ref="BM164:BM186">BH164+(BH164*BQ164)</f>
        <v>0</v>
      </c>
      <c r="BN164" s="26">
        <f t="shared" si="155"/>
        <v>0</v>
      </c>
      <c r="BO164" s="15">
        <f t="shared" si="142"/>
        <v>0</v>
      </c>
      <c r="BP164" s="20"/>
      <c r="BQ164" s="18"/>
    </row>
    <row r="165" spans="1:69" s="19" customFormat="1" ht="30">
      <c r="A165" s="21" t="s">
        <v>112</v>
      </c>
      <c r="B165" s="2" t="s">
        <v>113</v>
      </c>
      <c r="C165" s="40">
        <v>0</v>
      </c>
      <c r="D165" s="40">
        <v>0</v>
      </c>
      <c r="E165" s="40">
        <v>0</v>
      </c>
      <c r="F165" s="23">
        <v>0</v>
      </c>
      <c r="G165" s="15">
        <f t="shared" si="156"/>
        <v>0</v>
      </c>
      <c r="H165" s="26">
        <v>0</v>
      </c>
      <c r="I165" s="26">
        <v>0</v>
      </c>
      <c r="J165" s="26">
        <v>0</v>
      </c>
      <c r="K165" s="23">
        <v>0</v>
      </c>
      <c r="L165" s="15">
        <f t="shared" si="157"/>
        <v>0</v>
      </c>
      <c r="M165" s="26">
        <v>0</v>
      </c>
      <c r="N165" s="26">
        <v>0</v>
      </c>
      <c r="O165" s="26">
        <v>0</v>
      </c>
      <c r="P165" s="23">
        <v>0</v>
      </c>
      <c r="Q165" s="25">
        <f t="shared" si="147"/>
        <v>0</v>
      </c>
      <c r="R165" s="26">
        <v>0</v>
      </c>
      <c r="S165" s="26">
        <v>0</v>
      </c>
      <c r="T165" s="26">
        <v>0</v>
      </c>
      <c r="U165" s="23">
        <v>0</v>
      </c>
      <c r="V165" s="15">
        <f t="shared" si="143"/>
        <v>0</v>
      </c>
      <c r="W165" s="26">
        <v>0</v>
      </c>
      <c r="X165" s="26">
        <v>0</v>
      </c>
      <c r="Y165" s="26">
        <v>0</v>
      </c>
      <c r="Z165" s="23">
        <v>0</v>
      </c>
      <c r="AA165" s="15">
        <f t="shared" si="144"/>
        <v>0</v>
      </c>
      <c r="AB165" s="26">
        <v>0</v>
      </c>
      <c r="AC165" s="26">
        <v>0</v>
      </c>
      <c r="AD165" s="26">
        <v>0</v>
      </c>
      <c r="AE165" s="23">
        <v>0</v>
      </c>
      <c r="AF165" s="15">
        <f t="shared" si="145"/>
        <v>0</v>
      </c>
      <c r="AG165" s="26">
        <v>0</v>
      </c>
      <c r="AH165" s="26">
        <v>0</v>
      </c>
      <c r="AI165" s="26">
        <v>0</v>
      </c>
      <c r="AJ165" s="23">
        <v>0</v>
      </c>
      <c r="AK165" s="15">
        <f t="shared" si="137"/>
        <v>0</v>
      </c>
      <c r="AL165" s="26">
        <f t="shared" si="148"/>
        <v>0</v>
      </c>
      <c r="AM165" s="26">
        <f t="shared" si="148"/>
        <v>0</v>
      </c>
      <c r="AN165" s="26">
        <f t="shared" si="158"/>
        <v>0</v>
      </c>
      <c r="AO165" s="23">
        <v>0</v>
      </c>
      <c r="AP165" s="15">
        <f t="shared" si="138"/>
        <v>0</v>
      </c>
      <c r="AQ165" s="26">
        <f t="shared" si="149"/>
        <v>0</v>
      </c>
      <c r="AR165" s="26">
        <f t="shared" si="149"/>
        <v>0</v>
      </c>
      <c r="AS165" s="26">
        <f t="shared" si="150"/>
        <v>0</v>
      </c>
      <c r="AT165" s="23">
        <v>0</v>
      </c>
      <c r="AU165" s="15">
        <f t="shared" si="139"/>
        <v>0</v>
      </c>
      <c r="AV165" s="26">
        <f t="shared" si="151"/>
        <v>0</v>
      </c>
      <c r="AW165" s="26">
        <f t="shared" si="151"/>
        <v>0</v>
      </c>
      <c r="AX165" s="26">
        <f t="shared" si="159"/>
        <v>0</v>
      </c>
      <c r="AY165" s="26"/>
      <c r="AZ165" s="15">
        <f t="shared" si="146"/>
        <v>0</v>
      </c>
      <c r="BA165" s="26">
        <f t="shared" si="160"/>
        <v>0</v>
      </c>
      <c r="BB165" s="26">
        <f t="shared" si="160"/>
        <v>0</v>
      </c>
      <c r="BC165" s="26">
        <f t="shared" si="161"/>
        <v>0</v>
      </c>
      <c r="BD165" s="23">
        <v>0</v>
      </c>
      <c r="BE165" s="15">
        <f t="shared" si="140"/>
        <v>0</v>
      </c>
      <c r="BF165" s="26">
        <f t="shared" si="152"/>
        <v>0</v>
      </c>
      <c r="BG165" s="26">
        <f t="shared" si="152"/>
        <v>0</v>
      </c>
      <c r="BH165" s="26">
        <f t="shared" si="153"/>
        <v>0</v>
      </c>
      <c r="BI165" s="23">
        <v>0</v>
      </c>
      <c r="BJ165" s="15">
        <f t="shared" si="141"/>
        <v>0</v>
      </c>
      <c r="BK165" s="26">
        <f t="shared" si="154"/>
        <v>0</v>
      </c>
      <c r="BL165" s="26">
        <f t="shared" si="154"/>
        <v>0</v>
      </c>
      <c r="BM165" s="26">
        <f t="shared" si="162"/>
        <v>0</v>
      </c>
      <c r="BN165" s="26">
        <f t="shared" si="155"/>
        <v>0</v>
      </c>
      <c r="BO165" s="15">
        <f t="shared" si="142"/>
        <v>0</v>
      </c>
      <c r="BP165" s="20"/>
      <c r="BQ165" s="18"/>
    </row>
    <row r="166" spans="1:69" s="19" customFormat="1" ht="30">
      <c r="A166" s="21" t="s">
        <v>114</v>
      </c>
      <c r="B166" s="2" t="s">
        <v>115</v>
      </c>
      <c r="C166" s="40">
        <v>0</v>
      </c>
      <c r="D166" s="40">
        <v>0</v>
      </c>
      <c r="E166" s="40">
        <v>0</v>
      </c>
      <c r="F166" s="23">
        <v>0</v>
      </c>
      <c r="G166" s="15">
        <f t="shared" si="156"/>
        <v>0</v>
      </c>
      <c r="H166" s="26">
        <v>0</v>
      </c>
      <c r="I166" s="26">
        <v>0</v>
      </c>
      <c r="J166" s="26">
        <v>0</v>
      </c>
      <c r="K166" s="23">
        <v>0</v>
      </c>
      <c r="L166" s="15">
        <f t="shared" si="157"/>
        <v>0</v>
      </c>
      <c r="M166" s="26">
        <v>0</v>
      </c>
      <c r="N166" s="26">
        <v>0</v>
      </c>
      <c r="O166" s="26">
        <v>0</v>
      </c>
      <c r="P166" s="23">
        <v>0</v>
      </c>
      <c r="Q166" s="25">
        <f t="shared" si="147"/>
        <v>0</v>
      </c>
      <c r="R166" s="26">
        <v>0</v>
      </c>
      <c r="S166" s="26">
        <v>0</v>
      </c>
      <c r="T166" s="26">
        <v>0</v>
      </c>
      <c r="U166" s="23">
        <v>0</v>
      </c>
      <c r="V166" s="15">
        <f t="shared" si="143"/>
        <v>0</v>
      </c>
      <c r="W166" s="26">
        <v>0</v>
      </c>
      <c r="X166" s="26">
        <v>0</v>
      </c>
      <c r="Y166" s="26">
        <v>0</v>
      </c>
      <c r="Z166" s="23">
        <v>0</v>
      </c>
      <c r="AA166" s="15">
        <f t="shared" si="144"/>
        <v>0</v>
      </c>
      <c r="AB166" s="26">
        <v>0</v>
      </c>
      <c r="AC166" s="26">
        <v>0</v>
      </c>
      <c r="AD166" s="26">
        <v>0</v>
      </c>
      <c r="AE166" s="23">
        <v>0</v>
      </c>
      <c r="AF166" s="15">
        <f t="shared" si="145"/>
        <v>0</v>
      </c>
      <c r="AG166" s="26">
        <v>0</v>
      </c>
      <c r="AH166" s="26">
        <v>0</v>
      </c>
      <c r="AI166" s="26">
        <v>0</v>
      </c>
      <c r="AJ166" s="23">
        <v>0</v>
      </c>
      <c r="AK166" s="15">
        <f t="shared" si="137"/>
        <v>0</v>
      </c>
      <c r="AL166" s="26">
        <f t="shared" si="148"/>
        <v>0</v>
      </c>
      <c r="AM166" s="26">
        <f t="shared" si="148"/>
        <v>0</v>
      </c>
      <c r="AN166" s="26">
        <f t="shared" si="158"/>
        <v>0</v>
      </c>
      <c r="AO166" s="23">
        <v>0</v>
      </c>
      <c r="AP166" s="15">
        <f t="shared" si="138"/>
        <v>0</v>
      </c>
      <c r="AQ166" s="26">
        <f t="shared" si="149"/>
        <v>0</v>
      </c>
      <c r="AR166" s="26">
        <f t="shared" si="149"/>
        <v>0</v>
      </c>
      <c r="AS166" s="26">
        <f t="shared" si="150"/>
        <v>0</v>
      </c>
      <c r="AT166" s="23">
        <v>0</v>
      </c>
      <c r="AU166" s="15">
        <f t="shared" si="139"/>
        <v>0</v>
      </c>
      <c r="AV166" s="26">
        <f t="shared" si="151"/>
        <v>0</v>
      </c>
      <c r="AW166" s="26">
        <f t="shared" si="151"/>
        <v>0</v>
      </c>
      <c r="AX166" s="26">
        <f t="shared" si="159"/>
        <v>0</v>
      </c>
      <c r="AY166" s="26"/>
      <c r="AZ166" s="15">
        <f t="shared" si="146"/>
        <v>0</v>
      </c>
      <c r="BA166" s="26">
        <f t="shared" si="160"/>
        <v>0</v>
      </c>
      <c r="BB166" s="26">
        <f t="shared" si="160"/>
        <v>0</v>
      </c>
      <c r="BC166" s="26">
        <f t="shared" si="161"/>
        <v>0</v>
      </c>
      <c r="BD166" s="23">
        <v>0</v>
      </c>
      <c r="BE166" s="15">
        <f t="shared" si="140"/>
        <v>0</v>
      </c>
      <c r="BF166" s="26">
        <f t="shared" si="152"/>
        <v>0</v>
      </c>
      <c r="BG166" s="26">
        <f t="shared" si="152"/>
        <v>0</v>
      </c>
      <c r="BH166" s="26">
        <f t="shared" si="153"/>
        <v>0</v>
      </c>
      <c r="BI166" s="23">
        <v>0</v>
      </c>
      <c r="BJ166" s="15">
        <f t="shared" si="141"/>
        <v>0</v>
      </c>
      <c r="BK166" s="26">
        <f t="shared" si="154"/>
        <v>0</v>
      </c>
      <c r="BL166" s="26">
        <f t="shared" si="154"/>
        <v>0</v>
      </c>
      <c r="BM166" s="26">
        <f t="shared" si="162"/>
        <v>0</v>
      </c>
      <c r="BN166" s="26">
        <f t="shared" si="155"/>
        <v>0</v>
      </c>
      <c r="BO166" s="15">
        <f t="shared" si="142"/>
        <v>0</v>
      </c>
      <c r="BP166" s="20"/>
      <c r="BQ166" s="18"/>
    </row>
    <row r="167" spans="1:69" s="19" customFormat="1" ht="30">
      <c r="A167" s="21" t="s">
        <v>116</v>
      </c>
      <c r="B167" s="2" t="s">
        <v>81</v>
      </c>
      <c r="C167" s="40">
        <v>0</v>
      </c>
      <c r="D167" s="40">
        <v>0</v>
      </c>
      <c r="E167" s="40">
        <v>0</v>
      </c>
      <c r="F167" s="23">
        <v>0</v>
      </c>
      <c r="G167" s="15">
        <f t="shared" si="156"/>
        <v>0</v>
      </c>
      <c r="H167" s="26">
        <v>0</v>
      </c>
      <c r="I167" s="26">
        <v>0</v>
      </c>
      <c r="J167" s="26">
        <v>0</v>
      </c>
      <c r="K167" s="23">
        <v>0</v>
      </c>
      <c r="L167" s="15">
        <f t="shared" si="157"/>
        <v>0</v>
      </c>
      <c r="M167" s="26">
        <v>0</v>
      </c>
      <c r="N167" s="26">
        <v>0</v>
      </c>
      <c r="O167" s="26">
        <v>0</v>
      </c>
      <c r="P167" s="23">
        <v>0</v>
      </c>
      <c r="Q167" s="25">
        <f t="shared" si="147"/>
        <v>0</v>
      </c>
      <c r="R167" s="26">
        <v>0</v>
      </c>
      <c r="S167" s="26">
        <v>0</v>
      </c>
      <c r="T167" s="26">
        <v>0</v>
      </c>
      <c r="U167" s="23">
        <v>0</v>
      </c>
      <c r="V167" s="15">
        <f t="shared" si="143"/>
        <v>0</v>
      </c>
      <c r="W167" s="26">
        <v>0</v>
      </c>
      <c r="X167" s="26">
        <v>0</v>
      </c>
      <c r="Y167" s="26">
        <v>0</v>
      </c>
      <c r="Z167" s="23">
        <v>0</v>
      </c>
      <c r="AA167" s="15">
        <f t="shared" si="144"/>
        <v>0</v>
      </c>
      <c r="AB167" s="26">
        <v>0</v>
      </c>
      <c r="AC167" s="26">
        <v>0</v>
      </c>
      <c r="AD167" s="26">
        <v>0</v>
      </c>
      <c r="AE167" s="23">
        <v>0</v>
      </c>
      <c r="AF167" s="15">
        <f t="shared" si="145"/>
        <v>0</v>
      </c>
      <c r="AG167" s="26">
        <v>0</v>
      </c>
      <c r="AH167" s="26">
        <v>0</v>
      </c>
      <c r="AI167" s="26">
        <v>0</v>
      </c>
      <c r="AJ167" s="23">
        <v>0</v>
      </c>
      <c r="AK167" s="15">
        <f t="shared" si="137"/>
        <v>0</v>
      </c>
      <c r="AL167" s="26">
        <f t="shared" si="148"/>
        <v>0</v>
      </c>
      <c r="AM167" s="26">
        <f t="shared" si="148"/>
        <v>0</v>
      </c>
      <c r="AN167" s="26">
        <f t="shared" si="158"/>
        <v>0</v>
      </c>
      <c r="AO167" s="23">
        <v>0</v>
      </c>
      <c r="AP167" s="15">
        <f t="shared" si="138"/>
        <v>0</v>
      </c>
      <c r="AQ167" s="26">
        <f t="shared" si="149"/>
        <v>0</v>
      </c>
      <c r="AR167" s="26">
        <f t="shared" si="149"/>
        <v>0</v>
      </c>
      <c r="AS167" s="26">
        <f t="shared" si="150"/>
        <v>0</v>
      </c>
      <c r="AT167" s="23">
        <v>0</v>
      </c>
      <c r="AU167" s="15">
        <f t="shared" si="139"/>
        <v>0</v>
      </c>
      <c r="AV167" s="26">
        <f t="shared" si="151"/>
        <v>0</v>
      </c>
      <c r="AW167" s="26">
        <f t="shared" si="151"/>
        <v>0</v>
      </c>
      <c r="AX167" s="26">
        <f t="shared" si="159"/>
        <v>0</v>
      </c>
      <c r="AY167" s="26"/>
      <c r="AZ167" s="15">
        <f t="shared" si="146"/>
        <v>0</v>
      </c>
      <c r="BA167" s="26">
        <f t="shared" si="160"/>
        <v>0</v>
      </c>
      <c r="BB167" s="26">
        <f t="shared" si="160"/>
        <v>0</v>
      </c>
      <c r="BC167" s="26">
        <f t="shared" si="161"/>
        <v>0</v>
      </c>
      <c r="BD167" s="23">
        <v>0</v>
      </c>
      <c r="BE167" s="15">
        <f t="shared" si="140"/>
        <v>0</v>
      </c>
      <c r="BF167" s="26">
        <f t="shared" si="152"/>
        <v>0</v>
      </c>
      <c r="BG167" s="26">
        <f t="shared" si="152"/>
        <v>0</v>
      </c>
      <c r="BH167" s="26">
        <f t="shared" si="153"/>
        <v>0</v>
      </c>
      <c r="BI167" s="23">
        <v>0</v>
      </c>
      <c r="BJ167" s="15">
        <f t="shared" si="141"/>
        <v>0</v>
      </c>
      <c r="BK167" s="26">
        <f t="shared" si="154"/>
        <v>0</v>
      </c>
      <c r="BL167" s="26">
        <f t="shared" si="154"/>
        <v>0</v>
      </c>
      <c r="BM167" s="26">
        <f t="shared" si="162"/>
        <v>0</v>
      </c>
      <c r="BN167" s="26">
        <f t="shared" si="155"/>
        <v>0</v>
      </c>
      <c r="BO167" s="15">
        <f t="shared" si="142"/>
        <v>0</v>
      </c>
      <c r="BP167" s="20"/>
      <c r="BQ167" s="18"/>
    </row>
    <row r="168" spans="1:69" s="19" customFormat="1" ht="15">
      <c r="A168" s="21" t="s">
        <v>117</v>
      </c>
      <c r="B168" s="2" t="s">
        <v>118</v>
      </c>
      <c r="C168" s="40">
        <v>0</v>
      </c>
      <c r="D168" s="40">
        <v>0</v>
      </c>
      <c r="E168" s="40">
        <v>0</v>
      </c>
      <c r="F168" s="23">
        <v>0</v>
      </c>
      <c r="G168" s="15">
        <f t="shared" si="156"/>
        <v>0</v>
      </c>
      <c r="H168" s="26">
        <v>0</v>
      </c>
      <c r="I168" s="26">
        <v>0</v>
      </c>
      <c r="J168" s="26">
        <v>0</v>
      </c>
      <c r="K168" s="23">
        <v>0</v>
      </c>
      <c r="L168" s="15">
        <f t="shared" si="157"/>
        <v>0</v>
      </c>
      <c r="M168" s="26">
        <v>0</v>
      </c>
      <c r="N168" s="26">
        <v>0</v>
      </c>
      <c r="O168" s="26">
        <v>0</v>
      </c>
      <c r="P168" s="23">
        <v>0</v>
      </c>
      <c r="Q168" s="25">
        <f t="shared" si="147"/>
        <v>0</v>
      </c>
      <c r="R168" s="26">
        <v>0</v>
      </c>
      <c r="S168" s="26">
        <v>0</v>
      </c>
      <c r="T168" s="26">
        <v>0</v>
      </c>
      <c r="U168" s="23">
        <v>0</v>
      </c>
      <c r="V168" s="15">
        <f t="shared" si="143"/>
        <v>0</v>
      </c>
      <c r="W168" s="26">
        <v>0</v>
      </c>
      <c r="X168" s="26">
        <v>0</v>
      </c>
      <c r="Y168" s="26">
        <v>0</v>
      </c>
      <c r="Z168" s="23">
        <v>0</v>
      </c>
      <c r="AA168" s="15">
        <f t="shared" si="144"/>
        <v>0</v>
      </c>
      <c r="AB168" s="26">
        <v>0</v>
      </c>
      <c r="AC168" s="26">
        <v>0</v>
      </c>
      <c r="AD168" s="26">
        <v>0</v>
      </c>
      <c r="AE168" s="23">
        <v>0</v>
      </c>
      <c r="AF168" s="15">
        <f t="shared" si="145"/>
        <v>0</v>
      </c>
      <c r="AG168" s="26">
        <v>0</v>
      </c>
      <c r="AH168" s="26">
        <v>0</v>
      </c>
      <c r="AI168" s="26">
        <v>0</v>
      </c>
      <c r="AJ168" s="23">
        <v>0</v>
      </c>
      <c r="AK168" s="15">
        <f t="shared" si="137"/>
        <v>0</v>
      </c>
      <c r="AL168" s="26">
        <f t="shared" si="148"/>
        <v>0</v>
      </c>
      <c r="AM168" s="26">
        <f t="shared" si="148"/>
        <v>0</v>
      </c>
      <c r="AN168" s="26">
        <f t="shared" si="158"/>
        <v>0</v>
      </c>
      <c r="AO168" s="23">
        <v>0</v>
      </c>
      <c r="AP168" s="15">
        <f t="shared" si="138"/>
        <v>0</v>
      </c>
      <c r="AQ168" s="26">
        <f t="shared" si="149"/>
        <v>0</v>
      </c>
      <c r="AR168" s="26">
        <f t="shared" si="149"/>
        <v>0</v>
      </c>
      <c r="AS168" s="26">
        <f t="shared" si="150"/>
        <v>0</v>
      </c>
      <c r="AT168" s="23">
        <v>0</v>
      </c>
      <c r="AU168" s="15">
        <f t="shared" si="139"/>
        <v>0</v>
      </c>
      <c r="AV168" s="26">
        <f t="shared" si="151"/>
        <v>0</v>
      </c>
      <c r="AW168" s="26">
        <f t="shared" si="151"/>
        <v>0</v>
      </c>
      <c r="AX168" s="26">
        <f t="shared" si="159"/>
        <v>0</v>
      </c>
      <c r="AY168" s="26"/>
      <c r="AZ168" s="15">
        <f t="shared" si="146"/>
        <v>0</v>
      </c>
      <c r="BA168" s="26">
        <f t="shared" si="160"/>
        <v>0</v>
      </c>
      <c r="BB168" s="26">
        <f t="shared" si="160"/>
        <v>0</v>
      </c>
      <c r="BC168" s="26">
        <f t="shared" si="161"/>
        <v>0</v>
      </c>
      <c r="BD168" s="23">
        <v>0</v>
      </c>
      <c r="BE168" s="15">
        <f t="shared" si="140"/>
        <v>0</v>
      </c>
      <c r="BF168" s="26">
        <f t="shared" si="152"/>
        <v>0</v>
      </c>
      <c r="BG168" s="26">
        <f t="shared" si="152"/>
        <v>0</v>
      </c>
      <c r="BH168" s="26">
        <f t="shared" si="153"/>
        <v>0</v>
      </c>
      <c r="BI168" s="23">
        <v>0</v>
      </c>
      <c r="BJ168" s="15">
        <f t="shared" si="141"/>
        <v>0</v>
      </c>
      <c r="BK168" s="26">
        <f t="shared" si="154"/>
        <v>0</v>
      </c>
      <c r="BL168" s="26">
        <f t="shared" si="154"/>
        <v>0</v>
      </c>
      <c r="BM168" s="26">
        <f t="shared" si="162"/>
        <v>0</v>
      </c>
      <c r="BN168" s="26">
        <f t="shared" si="155"/>
        <v>0</v>
      </c>
      <c r="BO168" s="15">
        <f t="shared" si="142"/>
        <v>0</v>
      </c>
      <c r="BP168" s="20"/>
      <c r="BQ168" s="18"/>
    </row>
    <row r="169" spans="1:69" s="19" customFormat="1" ht="30">
      <c r="A169" s="21" t="s">
        <v>119</v>
      </c>
      <c r="B169" s="2" t="s">
        <v>120</v>
      </c>
      <c r="C169" s="40">
        <v>0</v>
      </c>
      <c r="D169" s="40">
        <v>0</v>
      </c>
      <c r="E169" s="40">
        <v>0</v>
      </c>
      <c r="F169" s="23">
        <v>0</v>
      </c>
      <c r="G169" s="15">
        <f t="shared" si="156"/>
        <v>0</v>
      </c>
      <c r="H169" s="26">
        <v>0</v>
      </c>
      <c r="I169" s="26">
        <v>0</v>
      </c>
      <c r="J169" s="26">
        <v>0</v>
      </c>
      <c r="K169" s="23">
        <v>0</v>
      </c>
      <c r="L169" s="15">
        <f t="shared" si="157"/>
        <v>0</v>
      </c>
      <c r="M169" s="26">
        <v>0</v>
      </c>
      <c r="N169" s="26">
        <v>0</v>
      </c>
      <c r="O169" s="26">
        <v>0</v>
      </c>
      <c r="P169" s="23">
        <v>0</v>
      </c>
      <c r="Q169" s="25">
        <f t="shared" si="147"/>
        <v>0</v>
      </c>
      <c r="R169" s="26">
        <v>0</v>
      </c>
      <c r="S169" s="26">
        <v>0</v>
      </c>
      <c r="T169" s="26">
        <v>0</v>
      </c>
      <c r="U169" s="23">
        <v>0</v>
      </c>
      <c r="V169" s="15">
        <f t="shared" si="143"/>
        <v>0</v>
      </c>
      <c r="W169" s="26">
        <v>0</v>
      </c>
      <c r="X169" s="26">
        <v>0</v>
      </c>
      <c r="Y169" s="26">
        <v>0</v>
      </c>
      <c r="Z169" s="23">
        <v>0</v>
      </c>
      <c r="AA169" s="15">
        <f t="shared" si="144"/>
        <v>0</v>
      </c>
      <c r="AB169" s="26">
        <v>0</v>
      </c>
      <c r="AC169" s="26">
        <v>0</v>
      </c>
      <c r="AD169" s="26">
        <v>0</v>
      </c>
      <c r="AE169" s="23">
        <v>0</v>
      </c>
      <c r="AF169" s="15">
        <f t="shared" si="145"/>
        <v>0</v>
      </c>
      <c r="AG169" s="26">
        <v>0</v>
      </c>
      <c r="AH169" s="26">
        <v>0</v>
      </c>
      <c r="AI169" s="26">
        <v>0</v>
      </c>
      <c r="AJ169" s="23">
        <v>0</v>
      </c>
      <c r="AK169" s="15">
        <f t="shared" si="137"/>
        <v>0</v>
      </c>
      <c r="AL169" s="26">
        <f t="shared" si="148"/>
        <v>0</v>
      </c>
      <c r="AM169" s="26">
        <f t="shared" si="148"/>
        <v>0</v>
      </c>
      <c r="AN169" s="26">
        <f t="shared" si="158"/>
        <v>0</v>
      </c>
      <c r="AO169" s="23">
        <v>0</v>
      </c>
      <c r="AP169" s="15">
        <f t="shared" si="138"/>
        <v>0</v>
      </c>
      <c r="AQ169" s="26">
        <f t="shared" si="149"/>
        <v>0</v>
      </c>
      <c r="AR169" s="26">
        <f t="shared" si="149"/>
        <v>0</v>
      </c>
      <c r="AS169" s="26">
        <f t="shared" si="150"/>
        <v>0</v>
      </c>
      <c r="AT169" s="23">
        <v>0</v>
      </c>
      <c r="AU169" s="15">
        <f t="shared" si="139"/>
        <v>0</v>
      </c>
      <c r="AV169" s="26">
        <f t="shared" si="151"/>
        <v>0</v>
      </c>
      <c r="AW169" s="26">
        <f t="shared" si="151"/>
        <v>0</v>
      </c>
      <c r="AX169" s="26">
        <f t="shared" si="159"/>
        <v>0</v>
      </c>
      <c r="AY169" s="26"/>
      <c r="AZ169" s="15">
        <f t="shared" si="146"/>
        <v>0</v>
      </c>
      <c r="BA169" s="26">
        <f t="shared" si="160"/>
        <v>0</v>
      </c>
      <c r="BB169" s="26">
        <f t="shared" si="160"/>
        <v>0</v>
      </c>
      <c r="BC169" s="26">
        <f t="shared" si="161"/>
        <v>0</v>
      </c>
      <c r="BD169" s="23">
        <v>0</v>
      </c>
      <c r="BE169" s="15">
        <f t="shared" si="140"/>
        <v>0</v>
      </c>
      <c r="BF169" s="26">
        <f t="shared" si="152"/>
        <v>0</v>
      </c>
      <c r="BG169" s="26">
        <f t="shared" si="152"/>
        <v>0</v>
      </c>
      <c r="BH169" s="26">
        <f t="shared" si="153"/>
        <v>0</v>
      </c>
      <c r="BI169" s="23">
        <v>0</v>
      </c>
      <c r="BJ169" s="15">
        <f t="shared" si="141"/>
        <v>0</v>
      </c>
      <c r="BK169" s="26">
        <f t="shared" si="154"/>
        <v>0</v>
      </c>
      <c r="BL169" s="26">
        <f t="shared" si="154"/>
        <v>0</v>
      </c>
      <c r="BM169" s="26">
        <f t="shared" si="162"/>
        <v>0</v>
      </c>
      <c r="BN169" s="26">
        <f t="shared" si="155"/>
        <v>0</v>
      </c>
      <c r="BO169" s="15">
        <f t="shared" si="142"/>
        <v>0</v>
      </c>
      <c r="BP169" s="20"/>
      <c r="BQ169" s="18"/>
    </row>
    <row r="170" spans="1:69" s="19" customFormat="1" ht="30">
      <c r="A170" s="21" t="s">
        <v>121</v>
      </c>
      <c r="B170" s="2" t="s">
        <v>115</v>
      </c>
      <c r="C170" s="40">
        <v>0</v>
      </c>
      <c r="D170" s="40">
        <v>0</v>
      </c>
      <c r="E170" s="40">
        <v>0</v>
      </c>
      <c r="F170" s="23">
        <v>0</v>
      </c>
      <c r="G170" s="15">
        <f t="shared" si="156"/>
        <v>0</v>
      </c>
      <c r="H170" s="26">
        <v>0</v>
      </c>
      <c r="I170" s="26">
        <v>0</v>
      </c>
      <c r="J170" s="26">
        <v>0</v>
      </c>
      <c r="K170" s="23">
        <v>0</v>
      </c>
      <c r="L170" s="15">
        <f t="shared" si="157"/>
        <v>0</v>
      </c>
      <c r="M170" s="26">
        <v>0</v>
      </c>
      <c r="N170" s="26">
        <v>0</v>
      </c>
      <c r="O170" s="26">
        <v>0</v>
      </c>
      <c r="P170" s="23">
        <v>0</v>
      </c>
      <c r="Q170" s="25">
        <f t="shared" si="147"/>
        <v>0</v>
      </c>
      <c r="R170" s="26">
        <v>0</v>
      </c>
      <c r="S170" s="26">
        <v>0</v>
      </c>
      <c r="T170" s="26">
        <v>0</v>
      </c>
      <c r="U170" s="23">
        <v>0</v>
      </c>
      <c r="V170" s="15">
        <f t="shared" si="143"/>
        <v>0</v>
      </c>
      <c r="W170" s="26">
        <v>0</v>
      </c>
      <c r="X170" s="26">
        <v>0</v>
      </c>
      <c r="Y170" s="26">
        <v>0</v>
      </c>
      <c r="Z170" s="23">
        <v>0</v>
      </c>
      <c r="AA170" s="15">
        <f t="shared" si="144"/>
        <v>0</v>
      </c>
      <c r="AB170" s="26">
        <v>0</v>
      </c>
      <c r="AC170" s="26">
        <v>0</v>
      </c>
      <c r="AD170" s="26">
        <v>0</v>
      </c>
      <c r="AE170" s="23">
        <v>0</v>
      </c>
      <c r="AF170" s="15">
        <f t="shared" si="145"/>
        <v>0</v>
      </c>
      <c r="AG170" s="26">
        <v>0</v>
      </c>
      <c r="AH170" s="26">
        <v>0</v>
      </c>
      <c r="AI170" s="26">
        <v>0</v>
      </c>
      <c r="AJ170" s="23">
        <v>0</v>
      </c>
      <c r="AK170" s="15">
        <f t="shared" si="137"/>
        <v>0</v>
      </c>
      <c r="AL170" s="26">
        <f t="shared" si="148"/>
        <v>0</v>
      </c>
      <c r="AM170" s="26">
        <f t="shared" si="148"/>
        <v>0</v>
      </c>
      <c r="AN170" s="26">
        <f t="shared" si="158"/>
        <v>0</v>
      </c>
      <c r="AO170" s="23">
        <v>0</v>
      </c>
      <c r="AP170" s="15">
        <f t="shared" si="138"/>
        <v>0</v>
      </c>
      <c r="AQ170" s="26">
        <f t="shared" si="149"/>
        <v>0</v>
      </c>
      <c r="AR170" s="26">
        <f t="shared" si="149"/>
        <v>0</v>
      </c>
      <c r="AS170" s="26">
        <f t="shared" si="150"/>
        <v>0</v>
      </c>
      <c r="AT170" s="23">
        <v>0</v>
      </c>
      <c r="AU170" s="15">
        <f t="shared" si="139"/>
        <v>0</v>
      </c>
      <c r="AV170" s="26">
        <f t="shared" si="151"/>
        <v>0</v>
      </c>
      <c r="AW170" s="26">
        <f t="shared" si="151"/>
        <v>0</v>
      </c>
      <c r="AX170" s="26">
        <f t="shared" si="159"/>
        <v>0</v>
      </c>
      <c r="AY170" s="26"/>
      <c r="AZ170" s="15">
        <f t="shared" si="146"/>
        <v>0</v>
      </c>
      <c r="BA170" s="26">
        <f t="shared" si="160"/>
        <v>0</v>
      </c>
      <c r="BB170" s="26">
        <f t="shared" si="160"/>
        <v>0</v>
      </c>
      <c r="BC170" s="26">
        <f t="shared" si="161"/>
        <v>0</v>
      </c>
      <c r="BD170" s="23">
        <v>0</v>
      </c>
      <c r="BE170" s="15">
        <f t="shared" si="140"/>
        <v>0</v>
      </c>
      <c r="BF170" s="26">
        <f t="shared" si="152"/>
        <v>0</v>
      </c>
      <c r="BG170" s="26">
        <f t="shared" si="152"/>
        <v>0</v>
      </c>
      <c r="BH170" s="26">
        <f t="shared" si="153"/>
        <v>0</v>
      </c>
      <c r="BI170" s="23">
        <v>0</v>
      </c>
      <c r="BJ170" s="15">
        <f t="shared" si="141"/>
        <v>0</v>
      </c>
      <c r="BK170" s="26">
        <f t="shared" si="154"/>
        <v>0</v>
      </c>
      <c r="BL170" s="26">
        <f t="shared" si="154"/>
        <v>0</v>
      </c>
      <c r="BM170" s="26">
        <f t="shared" si="162"/>
        <v>0</v>
      </c>
      <c r="BN170" s="26">
        <f t="shared" si="155"/>
        <v>0</v>
      </c>
      <c r="BO170" s="15">
        <f t="shared" si="142"/>
        <v>0</v>
      </c>
      <c r="BP170" s="20"/>
      <c r="BQ170" s="18"/>
    </row>
    <row r="171" spans="1:69" s="19" customFormat="1" ht="30">
      <c r="A171" s="21" t="s">
        <v>122</v>
      </c>
      <c r="B171" s="2" t="s">
        <v>35</v>
      </c>
      <c r="C171" s="40">
        <v>0</v>
      </c>
      <c r="D171" s="40">
        <v>0</v>
      </c>
      <c r="E171" s="40">
        <v>0</v>
      </c>
      <c r="F171" s="23">
        <v>0</v>
      </c>
      <c r="G171" s="15">
        <f t="shared" si="156"/>
        <v>0</v>
      </c>
      <c r="H171" s="26">
        <v>0</v>
      </c>
      <c r="I171" s="26">
        <v>0</v>
      </c>
      <c r="J171" s="26">
        <v>0</v>
      </c>
      <c r="K171" s="23">
        <v>0</v>
      </c>
      <c r="L171" s="15">
        <f t="shared" si="157"/>
        <v>0</v>
      </c>
      <c r="M171" s="26">
        <v>0</v>
      </c>
      <c r="N171" s="26">
        <v>0</v>
      </c>
      <c r="O171" s="26">
        <v>0</v>
      </c>
      <c r="P171" s="23">
        <v>0</v>
      </c>
      <c r="Q171" s="25">
        <f t="shared" si="147"/>
        <v>0</v>
      </c>
      <c r="R171" s="26">
        <v>0</v>
      </c>
      <c r="S171" s="26">
        <v>0</v>
      </c>
      <c r="T171" s="26">
        <v>0</v>
      </c>
      <c r="U171" s="23">
        <v>0</v>
      </c>
      <c r="V171" s="15">
        <f t="shared" si="143"/>
        <v>0</v>
      </c>
      <c r="W171" s="26">
        <v>0</v>
      </c>
      <c r="X171" s="26">
        <v>0</v>
      </c>
      <c r="Y171" s="26">
        <v>0</v>
      </c>
      <c r="Z171" s="23">
        <v>0</v>
      </c>
      <c r="AA171" s="15">
        <f t="shared" si="144"/>
        <v>0</v>
      </c>
      <c r="AB171" s="26">
        <v>0</v>
      </c>
      <c r="AC171" s="26">
        <v>0</v>
      </c>
      <c r="AD171" s="26">
        <v>0</v>
      </c>
      <c r="AE171" s="23">
        <v>0</v>
      </c>
      <c r="AF171" s="15">
        <f t="shared" si="145"/>
        <v>0</v>
      </c>
      <c r="AG171" s="26">
        <v>0</v>
      </c>
      <c r="AH171" s="26">
        <v>0</v>
      </c>
      <c r="AI171" s="26">
        <v>0</v>
      </c>
      <c r="AJ171" s="23">
        <v>0</v>
      </c>
      <c r="AK171" s="15">
        <f t="shared" si="137"/>
        <v>0</v>
      </c>
      <c r="AL171" s="26">
        <f t="shared" si="148"/>
        <v>0</v>
      </c>
      <c r="AM171" s="26">
        <f t="shared" si="148"/>
        <v>0</v>
      </c>
      <c r="AN171" s="26">
        <f t="shared" si="158"/>
        <v>0</v>
      </c>
      <c r="AO171" s="23">
        <v>0</v>
      </c>
      <c r="AP171" s="15">
        <f t="shared" si="138"/>
        <v>0</v>
      </c>
      <c r="AQ171" s="26">
        <f t="shared" si="149"/>
        <v>0</v>
      </c>
      <c r="AR171" s="26">
        <f t="shared" si="149"/>
        <v>0</v>
      </c>
      <c r="AS171" s="26">
        <f t="shared" si="150"/>
        <v>0</v>
      </c>
      <c r="AT171" s="23">
        <v>0</v>
      </c>
      <c r="AU171" s="15">
        <f t="shared" si="139"/>
        <v>0</v>
      </c>
      <c r="AV171" s="26">
        <f t="shared" si="151"/>
        <v>0</v>
      </c>
      <c r="AW171" s="26">
        <f t="shared" si="151"/>
        <v>0</v>
      </c>
      <c r="AX171" s="26">
        <f t="shared" si="159"/>
        <v>0</v>
      </c>
      <c r="AY171" s="26"/>
      <c r="AZ171" s="15">
        <f t="shared" si="146"/>
        <v>0</v>
      </c>
      <c r="BA171" s="26">
        <f t="shared" si="160"/>
        <v>0</v>
      </c>
      <c r="BB171" s="26">
        <f t="shared" si="160"/>
        <v>0</v>
      </c>
      <c r="BC171" s="26">
        <f t="shared" si="161"/>
        <v>0</v>
      </c>
      <c r="BD171" s="23">
        <v>0</v>
      </c>
      <c r="BE171" s="15">
        <f t="shared" si="140"/>
        <v>0</v>
      </c>
      <c r="BF171" s="26">
        <f t="shared" si="152"/>
        <v>0</v>
      </c>
      <c r="BG171" s="26">
        <f t="shared" si="152"/>
        <v>0</v>
      </c>
      <c r="BH171" s="26">
        <f t="shared" si="153"/>
        <v>0</v>
      </c>
      <c r="BI171" s="23">
        <v>0</v>
      </c>
      <c r="BJ171" s="15">
        <f t="shared" si="141"/>
        <v>0</v>
      </c>
      <c r="BK171" s="26">
        <f t="shared" si="154"/>
        <v>0</v>
      </c>
      <c r="BL171" s="26">
        <f t="shared" si="154"/>
        <v>0</v>
      </c>
      <c r="BM171" s="26">
        <f t="shared" si="162"/>
        <v>0</v>
      </c>
      <c r="BN171" s="26">
        <f t="shared" si="155"/>
        <v>0</v>
      </c>
      <c r="BO171" s="15">
        <f t="shared" si="142"/>
        <v>0</v>
      </c>
      <c r="BP171" s="20"/>
      <c r="BQ171" s="18"/>
    </row>
    <row r="172" spans="1:69" s="19" customFormat="1" ht="15">
      <c r="A172" s="21">
        <v>3475</v>
      </c>
      <c r="B172" s="2" t="s">
        <v>210</v>
      </c>
      <c r="C172" s="40">
        <v>0.46</v>
      </c>
      <c r="D172" s="40">
        <f>0.21+E172</f>
        <v>0.74</v>
      </c>
      <c r="E172" s="40">
        <v>0.53</v>
      </c>
      <c r="F172" s="23">
        <v>0</v>
      </c>
      <c r="G172" s="15">
        <f t="shared" si="156"/>
        <v>1.2</v>
      </c>
      <c r="H172" s="26">
        <v>0.56</v>
      </c>
      <c r="I172" s="26">
        <f>0.51+J172</f>
        <v>1.65</v>
      </c>
      <c r="J172" s="26">
        <v>1.14</v>
      </c>
      <c r="K172" s="23">
        <v>0</v>
      </c>
      <c r="L172" s="15">
        <f t="shared" si="157"/>
        <v>2.21</v>
      </c>
      <c r="M172" s="26">
        <v>0.9</v>
      </c>
      <c r="N172" s="26">
        <f>0.35+O172</f>
        <v>1.27</v>
      </c>
      <c r="O172" s="26">
        <v>0.92</v>
      </c>
      <c r="P172" s="23">
        <v>0</v>
      </c>
      <c r="Q172" s="25">
        <f t="shared" si="147"/>
        <v>2.17</v>
      </c>
      <c r="R172" s="26">
        <v>0.77</v>
      </c>
      <c r="S172" s="26">
        <f>0.06+T172</f>
        <v>0.52</v>
      </c>
      <c r="T172" s="26">
        <v>0.46</v>
      </c>
      <c r="U172" s="23">
        <v>0</v>
      </c>
      <c r="V172" s="15">
        <f t="shared" si="143"/>
        <v>1.29</v>
      </c>
      <c r="W172" s="26">
        <v>0.79</v>
      </c>
      <c r="X172" s="26">
        <f>0.02+Y172</f>
        <v>2.57</v>
      </c>
      <c r="Y172" s="26">
        <v>2.55</v>
      </c>
      <c r="Z172" s="23">
        <v>0</v>
      </c>
      <c r="AA172" s="15">
        <f t="shared" si="144"/>
        <v>3.36</v>
      </c>
      <c r="AB172" s="1">
        <v>0.86</v>
      </c>
      <c r="AC172" s="1">
        <v>1.4</v>
      </c>
      <c r="AD172" s="26">
        <v>0</v>
      </c>
      <c r="AE172" s="23">
        <v>0</v>
      </c>
      <c r="AF172" s="15">
        <f t="shared" si="145"/>
        <v>2.26</v>
      </c>
      <c r="AG172" s="1">
        <v>0.92</v>
      </c>
      <c r="AH172" s="1">
        <v>2.05</v>
      </c>
      <c r="AI172" s="26">
        <f>0.06+1.8</f>
        <v>1.86</v>
      </c>
      <c r="AJ172" s="23">
        <v>0</v>
      </c>
      <c r="AK172" s="15">
        <f t="shared" si="137"/>
        <v>2.9699999999999998</v>
      </c>
      <c r="AL172" s="26">
        <f t="shared" si="148"/>
        <v>1.0170140422045835</v>
      </c>
      <c r="AM172" s="26">
        <f t="shared" si="148"/>
        <v>2.2806249999999997</v>
      </c>
      <c r="AN172" s="26">
        <f t="shared" si="158"/>
        <v>2.0692500000000003</v>
      </c>
      <c r="AO172" s="23">
        <v>0</v>
      </c>
      <c r="AP172" s="15">
        <f t="shared" si="138"/>
        <v>3.297639042204583</v>
      </c>
      <c r="AQ172" s="26">
        <f t="shared" si="149"/>
        <v>1.1242582196101156</v>
      </c>
      <c r="AR172" s="26">
        <f t="shared" si="149"/>
        <v>2.5371953124999997</v>
      </c>
      <c r="AS172" s="26">
        <f t="shared" si="150"/>
        <v>2.302040625</v>
      </c>
      <c r="AT172" s="23">
        <v>0</v>
      </c>
      <c r="AU172" s="15">
        <f t="shared" si="139"/>
        <v>3.6614535321101154</v>
      </c>
      <c r="AV172" s="26">
        <f t="shared" si="151"/>
        <v>1.2428113004428392</v>
      </c>
      <c r="AW172" s="26">
        <f t="shared" si="151"/>
        <v>2.82262978515625</v>
      </c>
      <c r="AX172" s="26">
        <f t="shared" si="159"/>
        <v>2.5610201953125</v>
      </c>
      <c r="AY172" s="26"/>
      <c r="AZ172" s="15">
        <f t="shared" si="146"/>
        <v>4.065441085599089</v>
      </c>
      <c r="BA172" s="26">
        <f t="shared" si="160"/>
        <v>1.3738658090879423</v>
      </c>
      <c r="BB172" s="26">
        <f t="shared" si="160"/>
        <v>3.1401756359863278</v>
      </c>
      <c r="BC172" s="26">
        <f t="shared" si="161"/>
        <v>2.8491349672851563</v>
      </c>
      <c r="BD172" s="23">
        <v>0</v>
      </c>
      <c r="BE172" s="15">
        <f t="shared" si="140"/>
        <v>4.51404144507427</v>
      </c>
      <c r="BF172" s="26">
        <f t="shared" si="152"/>
        <v>1.518740021681738</v>
      </c>
      <c r="BG172" s="26">
        <f t="shared" si="152"/>
        <v>3.4934453950347897</v>
      </c>
      <c r="BH172" s="26">
        <f t="shared" si="153"/>
        <v>3.169662651104736</v>
      </c>
      <c r="BI172" s="23">
        <v>0</v>
      </c>
      <c r="BJ172" s="15">
        <f t="shared" si="141"/>
        <v>5.012185416716528</v>
      </c>
      <c r="BK172" s="26">
        <f t="shared" si="154"/>
        <v>1.6788912266395881</v>
      </c>
      <c r="BL172" s="26">
        <f t="shared" si="154"/>
        <v>3.8864580019762034</v>
      </c>
      <c r="BM172" s="26">
        <f t="shared" si="162"/>
        <v>3.526249699354019</v>
      </c>
      <c r="BN172" s="26">
        <f t="shared" si="155"/>
        <v>0</v>
      </c>
      <c r="BO172" s="15">
        <f t="shared" si="142"/>
        <v>5.5653492286157915</v>
      </c>
      <c r="BP172" s="20">
        <v>0.10545004587454727</v>
      </c>
      <c r="BQ172" s="18">
        <v>0.1125</v>
      </c>
    </row>
    <row r="173" spans="1:69" s="16" customFormat="1" ht="30">
      <c r="A173" s="13" t="s">
        <v>123</v>
      </c>
      <c r="B173" s="14" t="s">
        <v>124</v>
      </c>
      <c r="C173" s="29">
        <f>SUM(C174+C185)</f>
        <v>0</v>
      </c>
      <c r="D173" s="29">
        <f>SUM(D174+D185)</f>
        <v>0</v>
      </c>
      <c r="E173" s="29">
        <f>SUM(E174+E185)</f>
        <v>0</v>
      </c>
      <c r="F173" s="29">
        <f>SUM(F174+F185)</f>
        <v>0</v>
      </c>
      <c r="G173" s="29">
        <f aca="true" t="shared" si="163" ref="G173:G186">C173+D173+E173</f>
        <v>0</v>
      </c>
      <c r="H173" s="26">
        <v>0</v>
      </c>
      <c r="I173" s="26">
        <v>0</v>
      </c>
      <c r="J173" s="26">
        <v>0</v>
      </c>
      <c r="K173" s="29">
        <f>SUM(K174+K185)</f>
        <v>0</v>
      </c>
      <c r="L173" s="15">
        <f aca="true" t="shared" si="164" ref="L173:L186">SUM(H173:J173)</f>
        <v>0</v>
      </c>
      <c r="M173" s="47">
        <f>M174+M185</f>
        <v>0</v>
      </c>
      <c r="N173" s="47">
        <f>N174+N185</f>
        <v>0</v>
      </c>
      <c r="O173" s="47">
        <f>O174+O185</f>
        <v>0</v>
      </c>
      <c r="P173" s="29">
        <f>SUM(P174+P185)</f>
        <v>0</v>
      </c>
      <c r="Q173" s="25">
        <f t="shared" si="147"/>
        <v>0</v>
      </c>
      <c r="R173" s="47">
        <f>R174+R185</f>
        <v>12.95</v>
      </c>
      <c r="S173" s="47">
        <f>S174+S185</f>
        <v>0</v>
      </c>
      <c r="T173" s="47">
        <f>T174+T185</f>
        <v>0</v>
      </c>
      <c r="U173" s="29">
        <f>SUM(U174+U185)</f>
        <v>0</v>
      </c>
      <c r="V173" s="15">
        <f t="shared" si="143"/>
        <v>12.95</v>
      </c>
      <c r="W173" s="48">
        <f>W174+W185</f>
        <v>31.46</v>
      </c>
      <c r="X173" s="48">
        <f>X174+X185</f>
        <v>0</v>
      </c>
      <c r="Y173" s="48">
        <f>Y174+Y185</f>
        <v>0</v>
      </c>
      <c r="Z173" s="29">
        <f>SUM(Z174+Z185)</f>
        <v>0</v>
      </c>
      <c r="AA173" s="15">
        <f t="shared" si="144"/>
        <v>31.46</v>
      </c>
      <c r="AB173" s="48">
        <f>AB174+AB185</f>
        <v>49.88</v>
      </c>
      <c r="AC173" s="48">
        <f>AC174+AC185</f>
        <v>0</v>
      </c>
      <c r="AD173" s="26">
        <v>0</v>
      </c>
      <c r="AE173" s="29">
        <f>SUM(AE174+AE185)</f>
        <v>0</v>
      </c>
      <c r="AF173" s="15">
        <f t="shared" si="145"/>
        <v>49.88</v>
      </c>
      <c r="AG173" s="48">
        <f>AG174+AG185</f>
        <v>55.11</v>
      </c>
      <c r="AH173" s="48">
        <f>AH174+AH185</f>
        <v>0</v>
      </c>
      <c r="AI173" s="48">
        <f>AI174+AI185</f>
        <v>0</v>
      </c>
      <c r="AJ173" s="29">
        <f>SUM(AJ174+AJ185)</f>
        <v>0</v>
      </c>
      <c r="AK173" s="15">
        <f t="shared" si="137"/>
        <v>55.11</v>
      </c>
      <c r="AL173" s="48">
        <f>AL174+AL185</f>
        <v>61.31</v>
      </c>
      <c r="AM173" s="48">
        <f>AM174+AM185</f>
        <v>0</v>
      </c>
      <c r="AN173" s="48">
        <f>AN174+AN185</f>
        <v>0</v>
      </c>
      <c r="AO173" s="29">
        <f>SUM(AO174+AO185)</f>
        <v>0</v>
      </c>
      <c r="AP173" s="15">
        <f t="shared" si="138"/>
        <v>61.31</v>
      </c>
      <c r="AQ173" s="48">
        <f>AQ174+AQ185</f>
        <v>98.21</v>
      </c>
      <c r="AR173" s="26">
        <f t="shared" si="149"/>
        <v>0</v>
      </c>
      <c r="AS173" s="26">
        <f t="shared" si="150"/>
        <v>0</v>
      </c>
      <c r="AT173" s="29">
        <f>SUM(AT174+AT185)</f>
        <v>0</v>
      </c>
      <c r="AU173" s="15">
        <f t="shared" si="139"/>
        <v>98.21</v>
      </c>
      <c r="AV173" s="48">
        <f>AV174+AV185</f>
        <v>106.48</v>
      </c>
      <c r="AW173" s="26">
        <f t="shared" si="151"/>
        <v>0</v>
      </c>
      <c r="AX173" s="26">
        <f t="shared" si="159"/>
        <v>0</v>
      </c>
      <c r="AY173" s="26"/>
      <c r="AZ173" s="15">
        <f t="shared" si="146"/>
        <v>106.48</v>
      </c>
      <c r="BA173" s="48">
        <f>BA174+BA185</f>
        <v>115.63</v>
      </c>
      <c r="BB173" s="26">
        <f t="shared" si="160"/>
        <v>0</v>
      </c>
      <c r="BC173" s="26">
        <f t="shared" si="161"/>
        <v>0</v>
      </c>
      <c r="BD173" s="29">
        <f>SUM(BD174+BD185)</f>
        <v>0</v>
      </c>
      <c r="BE173" s="15">
        <f t="shared" si="140"/>
        <v>115.63</v>
      </c>
      <c r="BF173" s="48">
        <f>BF174+BF185</f>
        <v>125.75</v>
      </c>
      <c r="BG173" s="26">
        <f t="shared" si="152"/>
        <v>0</v>
      </c>
      <c r="BH173" s="26">
        <f t="shared" si="153"/>
        <v>0</v>
      </c>
      <c r="BI173" s="29">
        <f>SUM(BI174+BI185)</f>
        <v>0</v>
      </c>
      <c r="BJ173" s="15">
        <f t="shared" si="141"/>
        <v>125.75</v>
      </c>
      <c r="BK173" s="48">
        <f>BK174+BK185</f>
        <v>136.95</v>
      </c>
      <c r="BL173" s="26">
        <f t="shared" si="154"/>
        <v>0</v>
      </c>
      <c r="BM173" s="26">
        <f t="shared" si="162"/>
        <v>0</v>
      </c>
      <c r="BN173" s="26">
        <f t="shared" si="155"/>
        <v>0</v>
      </c>
      <c r="BO173" s="15">
        <f t="shared" si="142"/>
        <v>136.95</v>
      </c>
      <c r="BP173" s="20"/>
      <c r="BQ173" s="18"/>
    </row>
    <row r="174" spans="1:69" s="19" customFormat="1" ht="60">
      <c r="A174" s="21">
        <v>3604</v>
      </c>
      <c r="B174" s="2" t="s">
        <v>211</v>
      </c>
      <c r="C174" s="32">
        <v>0</v>
      </c>
      <c r="D174" s="32">
        <v>0</v>
      </c>
      <c r="E174" s="32">
        <v>0</v>
      </c>
      <c r="F174" s="32">
        <v>0</v>
      </c>
      <c r="G174" s="29">
        <f t="shared" si="163"/>
        <v>0</v>
      </c>
      <c r="H174" s="26">
        <v>0</v>
      </c>
      <c r="I174" s="26">
        <v>0</v>
      </c>
      <c r="J174" s="26">
        <v>0</v>
      </c>
      <c r="K174" s="32">
        <v>0</v>
      </c>
      <c r="L174" s="15">
        <f t="shared" si="164"/>
        <v>0</v>
      </c>
      <c r="M174" s="26">
        <v>0</v>
      </c>
      <c r="N174" s="26">
        <v>0</v>
      </c>
      <c r="O174" s="26">
        <v>0</v>
      </c>
      <c r="P174" s="32">
        <v>0</v>
      </c>
      <c r="Q174" s="15">
        <f t="shared" si="147"/>
        <v>0</v>
      </c>
      <c r="R174" s="26">
        <f>SUM(R175:R184)</f>
        <v>12.95</v>
      </c>
      <c r="S174" s="26">
        <v>0</v>
      </c>
      <c r="T174" s="26">
        <v>0</v>
      </c>
      <c r="U174" s="32">
        <v>0</v>
      </c>
      <c r="V174" s="15">
        <f t="shared" si="143"/>
        <v>12.95</v>
      </c>
      <c r="W174" s="26">
        <f>SUM(W175:W184)</f>
        <v>31.46</v>
      </c>
      <c r="X174" s="26">
        <v>0</v>
      </c>
      <c r="Y174" s="26">
        <v>0</v>
      </c>
      <c r="Z174" s="32">
        <v>0</v>
      </c>
      <c r="AA174" s="15">
        <f t="shared" si="144"/>
        <v>31.46</v>
      </c>
      <c r="AB174" s="26">
        <f>SUM(AB175:AB184)</f>
        <v>49.88</v>
      </c>
      <c r="AC174" s="26">
        <v>0</v>
      </c>
      <c r="AD174" s="26">
        <v>0</v>
      </c>
      <c r="AE174" s="32">
        <v>0</v>
      </c>
      <c r="AF174" s="15">
        <f t="shared" si="145"/>
        <v>49.88</v>
      </c>
      <c r="AG174" s="26">
        <f>SUM(AG175:AG184)</f>
        <v>55.11</v>
      </c>
      <c r="AH174" s="26">
        <v>0</v>
      </c>
      <c r="AI174" s="26">
        <v>0</v>
      </c>
      <c r="AJ174" s="32">
        <v>0</v>
      </c>
      <c r="AK174" s="15">
        <f t="shared" si="137"/>
        <v>55.11</v>
      </c>
      <c r="AL174" s="26">
        <v>61.31</v>
      </c>
      <c r="AM174" s="26">
        <f aca="true" t="shared" si="165" ref="AM174:AM186">AH174+(AH174*BQ174)</f>
        <v>0</v>
      </c>
      <c r="AN174" s="26">
        <f aca="true" t="shared" si="166" ref="AN174:AN186">AI174+(AI174*BQ174)</f>
        <v>0</v>
      </c>
      <c r="AO174" s="32">
        <v>0</v>
      </c>
      <c r="AP174" s="15">
        <f t="shared" si="138"/>
        <v>61.31</v>
      </c>
      <c r="AQ174" s="26">
        <v>98.21</v>
      </c>
      <c r="AR174" s="26">
        <f t="shared" si="149"/>
        <v>0</v>
      </c>
      <c r="AS174" s="26">
        <f t="shared" si="150"/>
        <v>0</v>
      </c>
      <c r="AT174" s="32">
        <v>0</v>
      </c>
      <c r="AU174" s="15">
        <f t="shared" si="139"/>
        <v>98.21</v>
      </c>
      <c r="AV174" s="26">
        <v>106.48</v>
      </c>
      <c r="AW174" s="26">
        <f t="shared" si="151"/>
        <v>0</v>
      </c>
      <c r="AX174" s="26">
        <f t="shared" si="159"/>
        <v>0</v>
      </c>
      <c r="AY174" s="26"/>
      <c r="AZ174" s="15">
        <f t="shared" si="146"/>
        <v>106.48</v>
      </c>
      <c r="BA174" s="26">
        <v>115.63</v>
      </c>
      <c r="BB174" s="26">
        <f t="shared" si="160"/>
        <v>0</v>
      </c>
      <c r="BC174" s="26">
        <f t="shared" si="161"/>
        <v>0</v>
      </c>
      <c r="BD174" s="32">
        <v>0</v>
      </c>
      <c r="BE174" s="15">
        <f t="shared" si="140"/>
        <v>115.63</v>
      </c>
      <c r="BF174" s="26">
        <v>125.75</v>
      </c>
      <c r="BG174" s="26">
        <f t="shared" si="152"/>
        <v>0</v>
      </c>
      <c r="BH174" s="26">
        <f t="shared" si="153"/>
        <v>0</v>
      </c>
      <c r="BI174" s="32">
        <v>0</v>
      </c>
      <c r="BJ174" s="15">
        <f t="shared" si="141"/>
        <v>125.75</v>
      </c>
      <c r="BK174" s="26">
        <v>136.95</v>
      </c>
      <c r="BL174" s="26">
        <f t="shared" si="154"/>
        <v>0</v>
      </c>
      <c r="BM174" s="26">
        <f t="shared" si="162"/>
        <v>0</v>
      </c>
      <c r="BN174" s="26">
        <f t="shared" si="155"/>
        <v>0</v>
      </c>
      <c r="BO174" s="15">
        <f t="shared" si="142"/>
        <v>136.95</v>
      </c>
      <c r="BP174" s="20">
        <v>0.1125</v>
      </c>
      <c r="BQ174" s="18"/>
    </row>
    <row r="175" spans="1:69" s="19" customFormat="1" ht="15">
      <c r="A175" s="21">
        <v>101</v>
      </c>
      <c r="B175" s="2" t="s">
        <v>125</v>
      </c>
      <c r="C175" s="39">
        <v>0</v>
      </c>
      <c r="D175" s="39">
        <v>0</v>
      </c>
      <c r="E175" s="39">
        <v>0</v>
      </c>
      <c r="F175" s="39">
        <v>0</v>
      </c>
      <c r="G175" s="15">
        <f t="shared" si="163"/>
        <v>0</v>
      </c>
      <c r="H175" s="26">
        <v>0</v>
      </c>
      <c r="I175" s="26">
        <v>0</v>
      </c>
      <c r="J175" s="26">
        <v>0</v>
      </c>
      <c r="K175" s="39">
        <v>0</v>
      </c>
      <c r="L175" s="15">
        <f t="shared" si="164"/>
        <v>0</v>
      </c>
      <c r="M175" s="26">
        <v>0</v>
      </c>
      <c r="N175" s="26">
        <v>0</v>
      </c>
      <c r="O175" s="26">
        <v>0</v>
      </c>
      <c r="P175" s="39">
        <v>0</v>
      </c>
      <c r="Q175" s="25">
        <f t="shared" si="147"/>
        <v>0</v>
      </c>
      <c r="R175" s="26">
        <v>0.06</v>
      </c>
      <c r="S175" s="26">
        <v>0</v>
      </c>
      <c r="T175" s="26">
        <v>0</v>
      </c>
      <c r="U175" s="39">
        <v>0</v>
      </c>
      <c r="V175" s="15">
        <f t="shared" si="143"/>
        <v>0.06</v>
      </c>
      <c r="W175" s="26">
        <v>0</v>
      </c>
      <c r="X175" s="26">
        <v>0</v>
      </c>
      <c r="Y175" s="26">
        <v>0</v>
      </c>
      <c r="Z175" s="39">
        <v>0</v>
      </c>
      <c r="AA175" s="15">
        <f t="shared" si="144"/>
        <v>0</v>
      </c>
      <c r="AB175" s="26">
        <v>0</v>
      </c>
      <c r="AC175" s="26">
        <v>0</v>
      </c>
      <c r="AD175" s="26">
        <v>0</v>
      </c>
      <c r="AE175" s="39">
        <v>0</v>
      </c>
      <c r="AF175" s="15">
        <f t="shared" si="145"/>
        <v>0</v>
      </c>
      <c r="AG175" s="26">
        <v>0</v>
      </c>
      <c r="AH175" s="26">
        <v>0</v>
      </c>
      <c r="AI175" s="26">
        <v>0</v>
      </c>
      <c r="AJ175" s="39">
        <v>0</v>
      </c>
      <c r="AK175" s="15">
        <f t="shared" si="137"/>
        <v>0</v>
      </c>
      <c r="AL175" s="26">
        <f aca="true" t="shared" si="167" ref="AL175:AL186">AG175+(AG175*BP175)</f>
        <v>0</v>
      </c>
      <c r="AM175" s="26">
        <f t="shared" si="165"/>
        <v>0</v>
      </c>
      <c r="AN175" s="26">
        <f t="shared" si="166"/>
        <v>0</v>
      </c>
      <c r="AO175" s="39">
        <v>0</v>
      </c>
      <c r="AP175" s="15">
        <f t="shared" si="138"/>
        <v>0</v>
      </c>
      <c r="AQ175" s="26">
        <f aca="true" t="shared" si="168" ref="AQ175:AR186">AL175+(AL175*BP175)</f>
        <v>0</v>
      </c>
      <c r="AR175" s="26">
        <f t="shared" si="149"/>
        <v>0</v>
      </c>
      <c r="AS175" s="26">
        <f t="shared" si="150"/>
        <v>0</v>
      </c>
      <c r="AT175" s="39">
        <v>0</v>
      </c>
      <c r="AU175" s="15">
        <f t="shared" si="139"/>
        <v>0</v>
      </c>
      <c r="AV175" s="26">
        <f aca="true" t="shared" si="169" ref="AV175:AW186">AQ175+(AQ175*BP175)</f>
        <v>0</v>
      </c>
      <c r="AW175" s="26">
        <f t="shared" si="151"/>
        <v>0</v>
      </c>
      <c r="AX175" s="26">
        <f t="shared" si="159"/>
        <v>0</v>
      </c>
      <c r="AY175" s="26"/>
      <c r="AZ175" s="15">
        <f t="shared" si="146"/>
        <v>0</v>
      </c>
      <c r="BA175" s="26">
        <f aca="true" t="shared" si="170" ref="BA175:BB186">AV175+(AV175*BP175)</f>
        <v>0</v>
      </c>
      <c r="BB175" s="26">
        <f t="shared" si="160"/>
        <v>0</v>
      </c>
      <c r="BC175" s="26">
        <f t="shared" si="161"/>
        <v>0</v>
      </c>
      <c r="BD175" s="39">
        <v>0</v>
      </c>
      <c r="BE175" s="15">
        <f t="shared" si="140"/>
        <v>0</v>
      </c>
      <c r="BF175" s="26">
        <f t="shared" si="152"/>
        <v>0</v>
      </c>
      <c r="BG175" s="26">
        <f t="shared" si="152"/>
        <v>0</v>
      </c>
      <c r="BH175" s="26">
        <f t="shared" si="153"/>
        <v>0</v>
      </c>
      <c r="BI175" s="39">
        <v>0</v>
      </c>
      <c r="BJ175" s="15">
        <f t="shared" si="141"/>
        <v>0</v>
      </c>
      <c r="BK175" s="26">
        <f t="shared" si="154"/>
        <v>0</v>
      </c>
      <c r="BL175" s="26">
        <f t="shared" si="154"/>
        <v>0</v>
      </c>
      <c r="BM175" s="26">
        <f t="shared" si="162"/>
        <v>0</v>
      </c>
      <c r="BN175" s="26">
        <f t="shared" si="155"/>
        <v>0</v>
      </c>
      <c r="BO175" s="15">
        <f t="shared" si="142"/>
        <v>0</v>
      </c>
      <c r="BP175" s="20"/>
      <c r="BQ175" s="18"/>
    </row>
    <row r="176" spans="1:69" s="19" customFormat="1" ht="15">
      <c r="A176" s="21">
        <v>102</v>
      </c>
      <c r="B176" s="2" t="s">
        <v>126</v>
      </c>
      <c r="C176" s="39">
        <v>0</v>
      </c>
      <c r="D176" s="39">
        <v>0</v>
      </c>
      <c r="E176" s="39">
        <v>0</v>
      </c>
      <c r="F176" s="39">
        <v>0</v>
      </c>
      <c r="G176" s="15">
        <f t="shared" si="163"/>
        <v>0</v>
      </c>
      <c r="H176" s="26">
        <v>0</v>
      </c>
      <c r="I176" s="26">
        <v>0</v>
      </c>
      <c r="J176" s="26">
        <v>0</v>
      </c>
      <c r="K176" s="39">
        <v>0</v>
      </c>
      <c r="L176" s="15">
        <f t="shared" si="164"/>
        <v>0</v>
      </c>
      <c r="M176" s="26">
        <v>0</v>
      </c>
      <c r="N176" s="26">
        <v>0</v>
      </c>
      <c r="O176" s="26">
        <v>0</v>
      </c>
      <c r="P176" s="39">
        <v>0</v>
      </c>
      <c r="Q176" s="25">
        <f t="shared" si="147"/>
        <v>0</v>
      </c>
      <c r="R176" s="26">
        <v>0</v>
      </c>
      <c r="S176" s="26">
        <v>0</v>
      </c>
      <c r="T176" s="26">
        <v>0</v>
      </c>
      <c r="U176" s="39">
        <v>0</v>
      </c>
      <c r="V176" s="15">
        <f t="shared" si="143"/>
        <v>0</v>
      </c>
      <c r="W176" s="26">
        <v>0.06</v>
      </c>
      <c r="X176" s="26">
        <v>0</v>
      </c>
      <c r="Y176" s="26">
        <v>0</v>
      </c>
      <c r="Z176" s="39">
        <v>0</v>
      </c>
      <c r="AA176" s="15">
        <f t="shared" si="144"/>
        <v>0.06</v>
      </c>
      <c r="AB176" s="26">
        <v>0.15</v>
      </c>
      <c r="AC176" s="26">
        <v>0</v>
      </c>
      <c r="AD176" s="26">
        <v>0</v>
      </c>
      <c r="AE176" s="39">
        <v>0</v>
      </c>
      <c r="AF176" s="15">
        <f t="shared" si="145"/>
        <v>0.15</v>
      </c>
      <c r="AG176" s="26">
        <v>0.15</v>
      </c>
      <c r="AH176" s="26">
        <v>0</v>
      </c>
      <c r="AI176" s="26">
        <v>0</v>
      </c>
      <c r="AJ176" s="39">
        <v>0</v>
      </c>
      <c r="AK176" s="15">
        <f t="shared" si="137"/>
        <v>0.15</v>
      </c>
      <c r="AL176" s="26">
        <v>0</v>
      </c>
      <c r="AM176" s="26">
        <f t="shared" si="165"/>
        <v>0</v>
      </c>
      <c r="AN176" s="26">
        <f t="shared" si="166"/>
        <v>0</v>
      </c>
      <c r="AO176" s="39">
        <v>0</v>
      </c>
      <c r="AP176" s="15">
        <f t="shared" si="138"/>
        <v>0</v>
      </c>
      <c r="AQ176" s="26">
        <v>0</v>
      </c>
      <c r="AR176" s="26">
        <f t="shared" si="149"/>
        <v>0</v>
      </c>
      <c r="AS176" s="26">
        <f t="shared" si="150"/>
        <v>0</v>
      </c>
      <c r="AT176" s="39">
        <v>0</v>
      </c>
      <c r="AU176" s="15">
        <f t="shared" si="139"/>
        <v>0</v>
      </c>
      <c r="AV176" s="26">
        <f t="shared" si="169"/>
        <v>0</v>
      </c>
      <c r="AW176" s="26">
        <f t="shared" si="151"/>
        <v>0</v>
      </c>
      <c r="AX176" s="26">
        <f t="shared" si="159"/>
        <v>0</v>
      </c>
      <c r="AY176" s="26"/>
      <c r="AZ176" s="15">
        <f t="shared" si="146"/>
        <v>0</v>
      </c>
      <c r="BA176" s="26">
        <f t="shared" si="170"/>
        <v>0</v>
      </c>
      <c r="BB176" s="26">
        <f t="shared" si="160"/>
        <v>0</v>
      </c>
      <c r="BC176" s="26">
        <f t="shared" si="161"/>
        <v>0</v>
      </c>
      <c r="BD176" s="39">
        <v>0</v>
      </c>
      <c r="BE176" s="15">
        <f t="shared" si="140"/>
        <v>0</v>
      </c>
      <c r="BF176" s="26">
        <f t="shared" si="152"/>
        <v>0</v>
      </c>
      <c r="BG176" s="26">
        <f t="shared" si="152"/>
        <v>0</v>
      </c>
      <c r="BH176" s="26">
        <f t="shared" si="153"/>
        <v>0</v>
      </c>
      <c r="BI176" s="39">
        <v>0</v>
      </c>
      <c r="BJ176" s="15">
        <f t="shared" si="141"/>
        <v>0</v>
      </c>
      <c r="BK176" s="26">
        <f t="shared" si="154"/>
        <v>0</v>
      </c>
      <c r="BL176" s="26">
        <f t="shared" si="154"/>
        <v>0</v>
      </c>
      <c r="BM176" s="26">
        <f t="shared" si="162"/>
        <v>0</v>
      </c>
      <c r="BN176" s="26">
        <f t="shared" si="155"/>
        <v>0</v>
      </c>
      <c r="BO176" s="15">
        <f t="shared" si="142"/>
        <v>0</v>
      </c>
      <c r="BP176" s="20"/>
      <c r="BQ176" s="18"/>
    </row>
    <row r="177" spans="1:69" s="19" customFormat="1" ht="15">
      <c r="A177" s="21">
        <v>103</v>
      </c>
      <c r="B177" s="2" t="s">
        <v>127</v>
      </c>
      <c r="C177" s="39">
        <v>0</v>
      </c>
      <c r="D177" s="39">
        <v>0</v>
      </c>
      <c r="E177" s="39">
        <v>0</v>
      </c>
      <c r="F177" s="39">
        <v>0</v>
      </c>
      <c r="G177" s="15">
        <f t="shared" si="163"/>
        <v>0</v>
      </c>
      <c r="H177" s="26">
        <v>0</v>
      </c>
      <c r="I177" s="26">
        <v>0</v>
      </c>
      <c r="J177" s="26">
        <v>0</v>
      </c>
      <c r="K177" s="39">
        <v>0</v>
      </c>
      <c r="L177" s="15">
        <f t="shared" si="164"/>
        <v>0</v>
      </c>
      <c r="M177" s="26">
        <v>0</v>
      </c>
      <c r="N177" s="26">
        <v>0</v>
      </c>
      <c r="O177" s="26">
        <v>0</v>
      </c>
      <c r="P177" s="39">
        <v>0</v>
      </c>
      <c r="Q177" s="25">
        <f t="shared" si="147"/>
        <v>0</v>
      </c>
      <c r="R177" s="26">
        <v>0</v>
      </c>
      <c r="S177" s="26">
        <v>0</v>
      </c>
      <c r="T177" s="26">
        <v>0</v>
      </c>
      <c r="U177" s="39">
        <v>0</v>
      </c>
      <c r="V177" s="15">
        <f t="shared" si="143"/>
        <v>0</v>
      </c>
      <c r="W177" s="26">
        <v>0</v>
      </c>
      <c r="X177" s="26">
        <v>0</v>
      </c>
      <c r="Y177" s="26">
        <v>0</v>
      </c>
      <c r="Z177" s="39">
        <v>0</v>
      </c>
      <c r="AA177" s="15">
        <f t="shared" si="144"/>
        <v>0</v>
      </c>
      <c r="AB177" s="26">
        <v>0</v>
      </c>
      <c r="AC177" s="26">
        <v>0</v>
      </c>
      <c r="AD177" s="26">
        <v>0</v>
      </c>
      <c r="AE177" s="39">
        <v>0</v>
      </c>
      <c r="AF177" s="15">
        <f t="shared" si="145"/>
        <v>0</v>
      </c>
      <c r="AG177" s="26">
        <v>0</v>
      </c>
      <c r="AH177" s="26">
        <v>0</v>
      </c>
      <c r="AI177" s="26">
        <v>0</v>
      </c>
      <c r="AJ177" s="39">
        <v>0</v>
      </c>
      <c r="AK177" s="15">
        <f t="shared" si="137"/>
        <v>0</v>
      </c>
      <c r="AL177" s="26">
        <f t="shared" si="167"/>
        <v>0</v>
      </c>
      <c r="AM177" s="26">
        <f t="shared" si="165"/>
        <v>0</v>
      </c>
      <c r="AN177" s="26">
        <f t="shared" si="166"/>
        <v>0</v>
      </c>
      <c r="AO177" s="39">
        <v>0</v>
      </c>
      <c r="AP177" s="15">
        <f t="shared" si="138"/>
        <v>0</v>
      </c>
      <c r="AQ177" s="26">
        <f t="shared" si="168"/>
        <v>0</v>
      </c>
      <c r="AR177" s="26">
        <f t="shared" si="149"/>
        <v>0</v>
      </c>
      <c r="AS177" s="26">
        <f t="shared" si="150"/>
        <v>0</v>
      </c>
      <c r="AT177" s="39">
        <v>0</v>
      </c>
      <c r="AU177" s="15">
        <f t="shared" si="139"/>
        <v>0</v>
      </c>
      <c r="AV177" s="26">
        <f t="shared" si="169"/>
        <v>0</v>
      </c>
      <c r="AW177" s="26">
        <f t="shared" si="151"/>
        <v>0</v>
      </c>
      <c r="AX177" s="26">
        <f t="shared" si="159"/>
        <v>0</v>
      </c>
      <c r="AY177" s="26"/>
      <c r="AZ177" s="15">
        <f t="shared" si="146"/>
        <v>0</v>
      </c>
      <c r="BA177" s="26">
        <f t="shared" si="170"/>
        <v>0</v>
      </c>
      <c r="BB177" s="26">
        <f t="shared" si="160"/>
        <v>0</v>
      </c>
      <c r="BC177" s="26">
        <f t="shared" si="161"/>
        <v>0</v>
      </c>
      <c r="BD177" s="39">
        <v>0</v>
      </c>
      <c r="BE177" s="15">
        <f t="shared" si="140"/>
        <v>0</v>
      </c>
      <c r="BF177" s="26">
        <f t="shared" si="152"/>
        <v>0</v>
      </c>
      <c r="BG177" s="26">
        <f t="shared" si="152"/>
        <v>0</v>
      </c>
      <c r="BH177" s="26">
        <f t="shared" si="153"/>
        <v>0</v>
      </c>
      <c r="BI177" s="39">
        <v>0</v>
      </c>
      <c r="BJ177" s="15">
        <f t="shared" si="141"/>
        <v>0</v>
      </c>
      <c r="BK177" s="26">
        <f t="shared" si="154"/>
        <v>0</v>
      </c>
      <c r="BL177" s="26">
        <f t="shared" si="154"/>
        <v>0</v>
      </c>
      <c r="BM177" s="26">
        <f t="shared" si="162"/>
        <v>0</v>
      </c>
      <c r="BN177" s="26">
        <f t="shared" si="155"/>
        <v>0</v>
      </c>
      <c r="BO177" s="15">
        <f t="shared" si="142"/>
        <v>0</v>
      </c>
      <c r="BP177" s="20"/>
      <c r="BQ177" s="18"/>
    </row>
    <row r="178" spans="1:69" s="19" customFormat="1" ht="15">
      <c r="A178" s="21">
        <v>104</v>
      </c>
      <c r="B178" s="2" t="s">
        <v>128</v>
      </c>
      <c r="C178" s="39">
        <v>0</v>
      </c>
      <c r="D178" s="39">
        <v>0</v>
      </c>
      <c r="E178" s="39">
        <v>0</v>
      </c>
      <c r="F178" s="39">
        <v>0</v>
      </c>
      <c r="G178" s="15">
        <f t="shared" si="163"/>
        <v>0</v>
      </c>
      <c r="H178" s="26">
        <v>0</v>
      </c>
      <c r="I178" s="26">
        <v>0</v>
      </c>
      <c r="J178" s="26">
        <v>0</v>
      </c>
      <c r="K178" s="39">
        <v>0</v>
      </c>
      <c r="L178" s="15">
        <f t="shared" si="164"/>
        <v>0</v>
      </c>
      <c r="M178" s="26">
        <v>0</v>
      </c>
      <c r="N178" s="26">
        <v>0</v>
      </c>
      <c r="O178" s="26">
        <v>0</v>
      </c>
      <c r="P178" s="39">
        <v>0</v>
      </c>
      <c r="Q178" s="25">
        <f t="shared" si="147"/>
        <v>0</v>
      </c>
      <c r="R178" s="26">
        <v>0</v>
      </c>
      <c r="S178" s="26">
        <v>0</v>
      </c>
      <c r="T178" s="26">
        <v>0</v>
      </c>
      <c r="U178" s="39">
        <v>0</v>
      </c>
      <c r="V178" s="15">
        <f t="shared" si="143"/>
        <v>0</v>
      </c>
      <c r="W178" s="26">
        <v>0</v>
      </c>
      <c r="X178" s="26">
        <v>0</v>
      </c>
      <c r="Y178" s="26">
        <v>0</v>
      </c>
      <c r="Z178" s="39">
        <v>0</v>
      </c>
      <c r="AA178" s="15">
        <f t="shared" si="144"/>
        <v>0</v>
      </c>
      <c r="AB178" s="26">
        <v>0</v>
      </c>
      <c r="AC178" s="26">
        <v>0</v>
      </c>
      <c r="AD178" s="26">
        <v>0</v>
      </c>
      <c r="AE178" s="39">
        <v>0</v>
      </c>
      <c r="AF178" s="15">
        <f t="shared" si="145"/>
        <v>0</v>
      </c>
      <c r="AG178" s="26">
        <v>0</v>
      </c>
      <c r="AH178" s="26">
        <v>0</v>
      </c>
      <c r="AI178" s="26">
        <v>0</v>
      </c>
      <c r="AJ178" s="39">
        <v>0</v>
      </c>
      <c r="AK178" s="15">
        <f t="shared" si="137"/>
        <v>0</v>
      </c>
      <c r="AL178" s="26">
        <f t="shared" si="167"/>
        <v>0</v>
      </c>
      <c r="AM178" s="26">
        <f t="shared" si="165"/>
        <v>0</v>
      </c>
      <c r="AN178" s="26">
        <f t="shared" si="166"/>
        <v>0</v>
      </c>
      <c r="AO178" s="39">
        <v>0</v>
      </c>
      <c r="AP178" s="15">
        <f t="shared" si="138"/>
        <v>0</v>
      </c>
      <c r="AQ178" s="26">
        <f t="shared" si="168"/>
        <v>0</v>
      </c>
      <c r="AR178" s="26">
        <f t="shared" si="149"/>
        <v>0</v>
      </c>
      <c r="AS178" s="26">
        <f t="shared" si="150"/>
        <v>0</v>
      </c>
      <c r="AT178" s="39">
        <v>0</v>
      </c>
      <c r="AU178" s="15">
        <f t="shared" si="139"/>
        <v>0</v>
      </c>
      <c r="AV178" s="26">
        <f t="shared" si="169"/>
        <v>0</v>
      </c>
      <c r="AW178" s="26">
        <f t="shared" si="151"/>
        <v>0</v>
      </c>
      <c r="AX178" s="26">
        <f t="shared" si="159"/>
        <v>0</v>
      </c>
      <c r="AY178" s="26"/>
      <c r="AZ178" s="15">
        <f t="shared" si="146"/>
        <v>0</v>
      </c>
      <c r="BA178" s="26">
        <f t="shared" si="170"/>
        <v>0</v>
      </c>
      <c r="BB178" s="26">
        <f t="shared" si="160"/>
        <v>0</v>
      </c>
      <c r="BC178" s="26">
        <f t="shared" si="161"/>
        <v>0</v>
      </c>
      <c r="BD178" s="39">
        <v>0</v>
      </c>
      <c r="BE178" s="15">
        <f t="shared" si="140"/>
        <v>0</v>
      </c>
      <c r="BF178" s="26">
        <f t="shared" si="152"/>
        <v>0</v>
      </c>
      <c r="BG178" s="26">
        <f t="shared" si="152"/>
        <v>0</v>
      </c>
      <c r="BH178" s="26">
        <f t="shared" si="153"/>
        <v>0</v>
      </c>
      <c r="BI178" s="39">
        <v>0</v>
      </c>
      <c r="BJ178" s="15">
        <f t="shared" si="141"/>
        <v>0</v>
      </c>
      <c r="BK178" s="26">
        <f t="shared" si="154"/>
        <v>0</v>
      </c>
      <c r="BL178" s="26">
        <f t="shared" si="154"/>
        <v>0</v>
      </c>
      <c r="BM178" s="26">
        <f t="shared" si="162"/>
        <v>0</v>
      </c>
      <c r="BN178" s="26">
        <f t="shared" si="155"/>
        <v>0</v>
      </c>
      <c r="BO178" s="15">
        <f t="shared" si="142"/>
        <v>0</v>
      </c>
      <c r="BP178" s="20"/>
      <c r="BQ178" s="18"/>
    </row>
    <row r="179" spans="1:69" s="19" customFormat="1" ht="15">
      <c r="A179" s="21">
        <v>105</v>
      </c>
      <c r="B179" s="2" t="s">
        <v>129</v>
      </c>
      <c r="C179" s="39">
        <v>0</v>
      </c>
      <c r="D179" s="39">
        <v>0</v>
      </c>
      <c r="E179" s="39">
        <v>0</v>
      </c>
      <c r="F179" s="39">
        <v>0</v>
      </c>
      <c r="G179" s="15">
        <f t="shared" si="163"/>
        <v>0</v>
      </c>
      <c r="H179" s="26">
        <v>0</v>
      </c>
      <c r="I179" s="26">
        <v>0</v>
      </c>
      <c r="J179" s="26">
        <v>0</v>
      </c>
      <c r="K179" s="39">
        <v>0</v>
      </c>
      <c r="L179" s="15">
        <f t="shared" si="164"/>
        <v>0</v>
      </c>
      <c r="M179" s="26">
        <v>0</v>
      </c>
      <c r="N179" s="26">
        <v>0</v>
      </c>
      <c r="O179" s="26">
        <v>0</v>
      </c>
      <c r="P179" s="39">
        <v>0</v>
      </c>
      <c r="Q179" s="25">
        <f t="shared" si="147"/>
        <v>0</v>
      </c>
      <c r="R179" s="26">
        <v>0</v>
      </c>
      <c r="S179" s="26">
        <v>0</v>
      </c>
      <c r="T179" s="26">
        <v>0</v>
      </c>
      <c r="U179" s="39">
        <v>0</v>
      </c>
      <c r="V179" s="15">
        <f t="shared" si="143"/>
        <v>0</v>
      </c>
      <c r="W179" s="26">
        <v>0</v>
      </c>
      <c r="X179" s="26">
        <v>0</v>
      </c>
      <c r="Y179" s="26">
        <v>0</v>
      </c>
      <c r="Z179" s="39">
        <v>0</v>
      </c>
      <c r="AA179" s="15">
        <f t="shared" si="144"/>
        <v>0</v>
      </c>
      <c r="AB179" s="26">
        <v>0</v>
      </c>
      <c r="AC179" s="26">
        <v>0</v>
      </c>
      <c r="AD179" s="26">
        <v>0</v>
      </c>
      <c r="AE179" s="39">
        <v>0</v>
      </c>
      <c r="AF179" s="15">
        <f t="shared" si="145"/>
        <v>0</v>
      </c>
      <c r="AG179" s="26">
        <v>0</v>
      </c>
      <c r="AH179" s="26">
        <v>0</v>
      </c>
      <c r="AI179" s="26">
        <v>0</v>
      </c>
      <c r="AJ179" s="39">
        <v>0</v>
      </c>
      <c r="AK179" s="15">
        <f t="shared" si="137"/>
        <v>0</v>
      </c>
      <c r="AL179" s="26">
        <f t="shared" si="167"/>
        <v>0</v>
      </c>
      <c r="AM179" s="26">
        <f t="shared" si="165"/>
        <v>0</v>
      </c>
      <c r="AN179" s="26">
        <f t="shared" si="166"/>
        <v>0</v>
      </c>
      <c r="AO179" s="39">
        <v>0</v>
      </c>
      <c r="AP179" s="15">
        <f t="shared" si="138"/>
        <v>0</v>
      </c>
      <c r="AQ179" s="26">
        <f t="shared" si="168"/>
        <v>0</v>
      </c>
      <c r="AR179" s="26">
        <f t="shared" si="168"/>
        <v>0</v>
      </c>
      <c r="AS179" s="26">
        <f t="shared" si="150"/>
        <v>0</v>
      </c>
      <c r="AT179" s="39">
        <v>0</v>
      </c>
      <c r="AU179" s="15">
        <f t="shared" si="139"/>
        <v>0</v>
      </c>
      <c r="AV179" s="26">
        <f t="shared" si="169"/>
        <v>0</v>
      </c>
      <c r="AW179" s="26">
        <f t="shared" si="169"/>
        <v>0</v>
      </c>
      <c r="AX179" s="26">
        <f t="shared" si="159"/>
        <v>0</v>
      </c>
      <c r="AY179" s="26"/>
      <c r="AZ179" s="15">
        <f t="shared" si="146"/>
        <v>0</v>
      </c>
      <c r="BA179" s="26">
        <f t="shared" si="170"/>
        <v>0</v>
      </c>
      <c r="BB179" s="26">
        <f t="shared" si="160"/>
        <v>0</v>
      </c>
      <c r="BC179" s="26">
        <f t="shared" si="161"/>
        <v>0</v>
      </c>
      <c r="BD179" s="39">
        <v>0</v>
      </c>
      <c r="BE179" s="15">
        <f t="shared" si="140"/>
        <v>0</v>
      </c>
      <c r="BF179" s="26">
        <f t="shared" si="152"/>
        <v>0</v>
      </c>
      <c r="BG179" s="26">
        <f t="shared" si="152"/>
        <v>0</v>
      </c>
      <c r="BH179" s="26">
        <f t="shared" si="153"/>
        <v>0</v>
      </c>
      <c r="BI179" s="39">
        <v>0</v>
      </c>
      <c r="BJ179" s="15">
        <f t="shared" si="141"/>
        <v>0</v>
      </c>
      <c r="BK179" s="26">
        <f t="shared" si="154"/>
        <v>0</v>
      </c>
      <c r="BL179" s="26">
        <f t="shared" si="154"/>
        <v>0</v>
      </c>
      <c r="BM179" s="26">
        <f t="shared" si="162"/>
        <v>0</v>
      </c>
      <c r="BN179" s="26">
        <f t="shared" si="155"/>
        <v>0</v>
      </c>
      <c r="BO179" s="15">
        <f t="shared" si="142"/>
        <v>0</v>
      </c>
      <c r="BP179" s="20"/>
      <c r="BQ179" s="18"/>
    </row>
    <row r="180" spans="1:69" s="19" customFormat="1" ht="15">
      <c r="A180" s="21">
        <v>106</v>
      </c>
      <c r="B180" s="2" t="s">
        <v>130</v>
      </c>
      <c r="C180" s="39">
        <v>0</v>
      </c>
      <c r="D180" s="39">
        <v>0</v>
      </c>
      <c r="E180" s="39">
        <v>0</v>
      </c>
      <c r="F180" s="39">
        <v>0</v>
      </c>
      <c r="G180" s="15">
        <f t="shared" si="163"/>
        <v>0</v>
      </c>
      <c r="H180" s="26">
        <v>0</v>
      </c>
      <c r="I180" s="26">
        <v>0</v>
      </c>
      <c r="J180" s="26">
        <v>0</v>
      </c>
      <c r="K180" s="39">
        <v>0</v>
      </c>
      <c r="L180" s="15">
        <f t="shared" si="164"/>
        <v>0</v>
      </c>
      <c r="M180" s="26">
        <v>0</v>
      </c>
      <c r="N180" s="26">
        <v>0</v>
      </c>
      <c r="O180" s="26">
        <v>0</v>
      </c>
      <c r="P180" s="39">
        <v>0</v>
      </c>
      <c r="Q180" s="25">
        <f t="shared" si="147"/>
        <v>0</v>
      </c>
      <c r="R180" s="26">
        <v>0</v>
      </c>
      <c r="S180" s="26">
        <v>0</v>
      </c>
      <c r="T180" s="26">
        <v>0</v>
      </c>
      <c r="U180" s="39">
        <v>0</v>
      </c>
      <c r="V180" s="15">
        <f t="shared" si="143"/>
        <v>0</v>
      </c>
      <c r="W180" s="26">
        <v>0</v>
      </c>
      <c r="X180" s="26">
        <v>0</v>
      </c>
      <c r="Y180" s="26">
        <v>0</v>
      </c>
      <c r="Z180" s="39">
        <v>0</v>
      </c>
      <c r="AA180" s="15">
        <f t="shared" si="144"/>
        <v>0</v>
      </c>
      <c r="AB180" s="26">
        <v>0</v>
      </c>
      <c r="AC180" s="26">
        <v>0</v>
      </c>
      <c r="AD180" s="26">
        <v>0</v>
      </c>
      <c r="AE180" s="39">
        <v>0</v>
      </c>
      <c r="AF180" s="15">
        <f t="shared" si="145"/>
        <v>0</v>
      </c>
      <c r="AG180" s="26">
        <v>0</v>
      </c>
      <c r="AH180" s="26">
        <v>0</v>
      </c>
      <c r="AI180" s="26">
        <v>0</v>
      </c>
      <c r="AJ180" s="39">
        <v>0</v>
      </c>
      <c r="AK180" s="15">
        <f t="shared" si="137"/>
        <v>0</v>
      </c>
      <c r="AL180" s="26">
        <f t="shared" si="167"/>
        <v>0</v>
      </c>
      <c r="AM180" s="26">
        <f t="shared" si="165"/>
        <v>0</v>
      </c>
      <c r="AN180" s="26">
        <f t="shared" si="166"/>
        <v>0</v>
      </c>
      <c r="AO180" s="39">
        <v>0</v>
      </c>
      <c r="AP180" s="15">
        <f t="shared" si="138"/>
        <v>0</v>
      </c>
      <c r="AQ180" s="26">
        <f t="shared" si="168"/>
        <v>0</v>
      </c>
      <c r="AR180" s="26">
        <f t="shared" si="168"/>
        <v>0</v>
      </c>
      <c r="AS180" s="26">
        <f t="shared" si="150"/>
        <v>0</v>
      </c>
      <c r="AT180" s="39">
        <v>0</v>
      </c>
      <c r="AU180" s="15">
        <f t="shared" si="139"/>
        <v>0</v>
      </c>
      <c r="AV180" s="26">
        <f t="shared" si="169"/>
        <v>0</v>
      </c>
      <c r="AW180" s="26">
        <f t="shared" si="169"/>
        <v>0</v>
      </c>
      <c r="AX180" s="26">
        <f t="shared" si="159"/>
        <v>0</v>
      </c>
      <c r="AY180" s="26"/>
      <c r="AZ180" s="15">
        <f t="shared" si="146"/>
        <v>0</v>
      </c>
      <c r="BA180" s="26">
        <f t="shared" si="170"/>
        <v>0</v>
      </c>
      <c r="BB180" s="26">
        <f t="shared" si="170"/>
        <v>0</v>
      </c>
      <c r="BC180" s="26">
        <f t="shared" si="161"/>
        <v>0</v>
      </c>
      <c r="BD180" s="39">
        <v>0</v>
      </c>
      <c r="BE180" s="15">
        <f t="shared" si="140"/>
        <v>0</v>
      </c>
      <c r="BF180" s="26">
        <f t="shared" si="152"/>
        <v>0</v>
      </c>
      <c r="BG180" s="26">
        <f t="shared" si="152"/>
        <v>0</v>
      </c>
      <c r="BH180" s="26">
        <f t="shared" si="153"/>
        <v>0</v>
      </c>
      <c r="BI180" s="39">
        <v>0</v>
      </c>
      <c r="BJ180" s="15">
        <f t="shared" si="141"/>
        <v>0</v>
      </c>
      <c r="BK180" s="26">
        <f t="shared" si="154"/>
        <v>0</v>
      </c>
      <c r="BL180" s="26">
        <f t="shared" si="154"/>
        <v>0</v>
      </c>
      <c r="BM180" s="26">
        <f t="shared" si="162"/>
        <v>0</v>
      </c>
      <c r="BN180" s="26">
        <f t="shared" si="155"/>
        <v>0</v>
      </c>
      <c r="BO180" s="15">
        <f t="shared" si="142"/>
        <v>0</v>
      </c>
      <c r="BP180" s="20"/>
      <c r="BQ180" s="18"/>
    </row>
    <row r="181" spans="1:69" s="19" customFormat="1" ht="30">
      <c r="A181" s="21">
        <v>107</v>
      </c>
      <c r="B181" s="2" t="s">
        <v>131</v>
      </c>
      <c r="C181" s="26">
        <v>0</v>
      </c>
      <c r="D181" s="26">
        <v>0</v>
      </c>
      <c r="E181" s="26">
        <v>0</v>
      </c>
      <c r="F181" s="26">
        <v>0</v>
      </c>
      <c r="G181" s="15">
        <f t="shared" si="163"/>
        <v>0</v>
      </c>
      <c r="H181" s="26">
        <v>0</v>
      </c>
      <c r="I181" s="26">
        <v>0</v>
      </c>
      <c r="J181" s="26">
        <v>0</v>
      </c>
      <c r="K181" s="26">
        <v>0</v>
      </c>
      <c r="L181" s="15">
        <f t="shared" si="164"/>
        <v>0</v>
      </c>
      <c r="M181" s="26">
        <v>0</v>
      </c>
      <c r="N181" s="26">
        <v>0</v>
      </c>
      <c r="O181" s="26">
        <v>0</v>
      </c>
      <c r="P181" s="26">
        <v>0</v>
      </c>
      <c r="Q181" s="25">
        <f t="shared" si="147"/>
        <v>0</v>
      </c>
      <c r="R181" s="26">
        <v>0</v>
      </c>
      <c r="S181" s="26">
        <v>0</v>
      </c>
      <c r="T181" s="26">
        <v>0</v>
      </c>
      <c r="U181" s="26">
        <v>0</v>
      </c>
      <c r="V181" s="15">
        <f t="shared" si="143"/>
        <v>0</v>
      </c>
      <c r="W181" s="26">
        <v>0</v>
      </c>
      <c r="X181" s="26">
        <v>0</v>
      </c>
      <c r="Y181" s="26">
        <v>0</v>
      </c>
      <c r="Z181" s="26">
        <v>0</v>
      </c>
      <c r="AA181" s="15">
        <f t="shared" si="144"/>
        <v>0</v>
      </c>
      <c r="AB181" s="26">
        <v>0</v>
      </c>
      <c r="AC181" s="26">
        <v>0</v>
      </c>
      <c r="AD181" s="26">
        <v>0</v>
      </c>
      <c r="AE181" s="26">
        <v>0</v>
      </c>
      <c r="AF181" s="15">
        <f t="shared" si="145"/>
        <v>0</v>
      </c>
      <c r="AG181" s="26">
        <v>0</v>
      </c>
      <c r="AH181" s="26">
        <v>0</v>
      </c>
      <c r="AI181" s="26">
        <v>0</v>
      </c>
      <c r="AJ181" s="26">
        <v>0</v>
      </c>
      <c r="AK181" s="15">
        <f t="shared" si="137"/>
        <v>0</v>
      </c>
      <c r="AL181" s="26">
        <f t="shared" si="167"/>
        <v>0</v>
      </c>
      <c r="AM181" s="26">
        <f t="shared" si="165"/>
        <v>0</v>
      </c>
      <c r="AN181" s="26">
        <f t="shared" si="166"/>
        <v>0</v>
      </c>
      <c r="AO181" s="26">
        <v>0</v>
      </c>
      <c r="AP181" s="15">
        <f t="shared" si="138"/>
        <v>0</v>
      </c>
      <c r="AQ181" s="26">
        <f t="shared" si="168"/>
        <v>0</v>
      </c>
      <c r="AR181" s="26">
        <f t="shared" si="168"/>
        <v>0</v>
      </c>
      <c r="AS181" s="26">
        <f t="shared" si="150"/>
        <v>0</v>
      </c>
      <c r="AT181" s="26">
        <v>0</v>
      </c>
      <c r="AU181" s="15">
        <f t="shared" si="139"/>
        <v>0</v>
      </c>
      <c r="AV181" s="26">
        <f t="shared" si="169"/>
        <v>0</v>
      </c>
      <c r="AW181" s="26">
        <f t="shared" si="169"/>
        <v>0</v>
      </c>
      <c r="AX181" s="26">
        <f t="shared" si="159"/>
        <v>0</v>
      </c>
      <c r="AY181" s="26"/>
      <c r="AZ181" s="15">
        <f t="shared" si="146"/>
        <v>0</v>
      </c>
      <c r="BA181" s="26">
        <f t="shared" si="170"/>
        <v>0</v>
      </c>
      <c r="BB181" s="26">
        <f t="shared" si="170"/>
        <v>0</v>
      </c>
      <c r="BC181" s="26">
        <f t="shared" si="161"/>
        <v>0</v>
      </c>
      <c r="BD181" s="26">
        <v>0</v>
      </c>
      <c r="BE181" s="15">
        <f t="shared" si="140"/>
        <v>0</v>
      </c>
      <c r="BF181" s="26">
        <f t="shared" si="152"/>
        <v>0</v>
      </c>
      <c r="BG181" s="26">
        <f t="shared" si="152"/>
        <v>0</v>
      </c>
      <c r="BH181" s="26">
        <f t="shared" si="153"/>
        <v>0</v>
      </c>
      <c r="BI181" s="26">
        <v>0</v>
      </c>
      <c r="BJ181" s="15">
        <f t="shared" si="141"/>
        <v>0</v>
      </c>
      <c r="BK181" s="26">
        <f t="shared" si="154"/>
        <v>0</v>
      </c>
      <c r="BL181" s="26">
        <f t="shared" si="154"/>
        <v>0</v>
      </c>
      <c r="BM181" s="26">
        <f t="shared" si="162"/>
        <v>0</v>
      </c>
      <c r="BN181" s="26">
        <f t="shared" si="155"/>
        <v>0</v>
      </c>
      <c r="BO181" s="15">
        <f t="shared" si="142"/>
        <v>0</v>
      </c>
      <c r="BP181" s="20"/>
      <c r="BQ181" s="18"/>
    </row>
    <row r="182" spans="1:69" s="19" customFormat="1" ht="30">
      <c r="A182" s="21">
        <v>108</v>
      </c>
      <c r="B182" s="2" t="s">
        <v>132</v>
      </c>
      <c r="C182" s="26">
        <v>0</v>
      </c>
      <c r="D182" s="26">
        <v>0</v>
      </c>
      <c r="E182" s="26">
        <v>0</v>
      </c>
      <c r="F182" s="26">
        <v>0</v>
      </c>
      <c r="G182" s="15">
        <f t="shared" si="163"/>
        <v>0</v>
      </c>
      <c r="H182" s="26">
        <v>0</v>
      </c>
      <c r="I182" s="26">
        <v>0</v>
      </c>
      <c r="J182" s="26">
        <v>0</v>
      </c>
      <c r="K182" s="26">
        <v>0</v>
      </c>
      <c r="L182" s="15">
        <f t="shared" si="164"/>
        <v>0</v>
      </c>
      <c r="M182" s="26">
        <v>0</v>
      </c>
      <c r="N182" s="26">
        <v>0</v>
      </c>
      <c r="O182" s="26">
        <v>0</v>
      </c>
      <c r="P182" s="26">
        <v>0</v>
      </c>
      <c r="Q182" s="25">
        <f t="shared" si="147"/>
        <v>0</v>
      </c>
      <c r="R182" s="26">
        <v>4.04</v>
      </c>
      <c r="S182" s="26">
        <v>0</v>
      </c>
      <c r="T182" s="26">
        <v>0</v>
      </c>
      <c r="U182" s="26">
        <v>0</v>
      </c>
      <c r="V182" s="15">
        <f t="shared" si="143"/>
        <v>4.04</v>
      </c>
      <c r="W182" s="26">
        <v>4.4</v>
      </c>
      <c r="X182" s="26">
        <v>0</v>
      </c>
      <c r="Y182" s="26">
        <v>0</v>
      </c>
      <c r="Z182" s="26">
        <v>0</v>
      </c>
      <c r="AA182" s="15">
        <f t="shared" si="144"/>
        <v>4.4</v>
      </c>
      <c r="AB182" s="26">
        <f>2.73+3.65</f>
        <v>6.38</v>
      </c>
      <c r="AC182" s="26">
        <v>0</v>
      </c>
      <c r="AD182" s="26">
        <v>0</v>
      </c>
      <c r="AE182" s="26">
        <v>0</v>
      </c>
      <c r="AF182" s="15">
        <f t="shared" si="145"/>
        <v>6.38</v>
      </c>
      <c r="AG182" s="26">
        <f>4.41+3.31</f>
        <v>7.720000000000001</v>
      </c>
      <c r="AH182" s="26">
        <v>0</v>
      </c>
      <c r="AI182" s="26">
        <v>0</v>
      </c>
      <c r="AJ182" s="26">
        <v>0</v>
      </c>
      <c r="AK182" s="15">
        <f t="shared" si="137"/>
        <v>7.720000000000001</v>
      </c>
      <c r="AL182" s="26">
        <f t="shared" si="167"/>
        <v>7.720000000000001</v>
      </c>
      <c r="AM182" s="26">
        <f t="shared" si="165"/>
        <v>0</v>
      </c>
      <c r="AN182" s="26">
        <f t="shared" si="166"/>
        <v>0</v>
      </c>
      <c r="AO182" s="26">
        <v>0</v>
      </c>
      <c r="AP182" s="15">
        <f t="shared" si="138"/>
        <v>7.720000000000001</v>
      </c>
      <c r="AQ182" s="26">
        <f t="shared" si="168"/>
        <v>7.720000000000001</v>
      </c>
      <c r="AR182" s="26">
        <f t="shared" si="168"/>
        <v>0</v>
      </c>
      <c r="AS182" s="26">
        <f t="shared" si="150"/>
        <v>0</v>
      </c>
      <c r="AT182" s="26">
        <v>0</v>
      </c>
      <c r="AU182" s="15">
        <f t="shared" si="139"/>
        <v>7.720000000000001</v>
      </c>
      <c r="AV182" s="26">
        <f t="shared" si="169"/>
        <v>7.720000000000001</v>
      </c>
      <c r="AW182" s="26">
        <f t="shared" si="169"/>
        <v>0</v>
      </c>
      <c r="AX182" s="26">
        <f t="shared" si="159"/>
        <v>0</v>
      </c>
      <c r="AY182" s="26"/>
      <c r="AZ182" s="15">
        <f t="shared" si="146"/>
        <v>7.720000000000001</v>
      </c>
      <c r="BA182" s="26">
        <f t="shared" si="170"/>
        <v>7.720000000000001</v>
      </c>
      <c r="BB182" s="26">
        <f t="shared" si="170"/>
        <v>0</v>
      </c>
      <c r="BC182" s="26">
        <f t="shared" si="161"/>
        <v>0</v>
      </c>
      <c r="BD182" s="26">
        <v>0</v>
      </c>
      <c r="BE182" s="15">
        <f t="shared" si="140"/>
        <v>7.720000000000001</v>
      </c>
      <c r="BF182" s="26">
        <f t="shared" si="152"/>
        <v>7.720000000000001</v>
      </c>
      <c r="BG182" s="26">
        <f t="shared" si="152"/>
        <v>0</v>
      </c>
      <c r="BH182" s="26">
        <f t="shared" si="153"/>
        <v>0</v>
      </c>
      <c r="BI182" s="26">
        <v>0</v>
      </c>
      <c r="BJ182" s="15">
        <f t="shared" si="141"/>
        <v>7.720000000000001</v>
      </c>
      <c r="BK182" s="26">
        <f t="shared" si="154"/>
        <v>7.720000000000001</v>
      </c>
      <c r="BL182" s="26">
        <f t="shared" si="154"/>
        <v>0</v>
      </c>
      <c r="BM182" s="26">
        <f t="shared" si="162"/>
        <v>0</v>
      </c>
      <c r="BN182" s="26">
        <f t="shared" si="155"/>
        <v>0</v>
      </c>
      <c r="BO182" s="15">
        <f t="shared" si="142"/>
        <v>7.720000000000001</v>
      </c>
      <c r="BP182" s="20"/>
      <c r="BQ182" s="18"/>
    </row>
    <row r="183" spans="1:69" s="19" customFormat="1" ht="30">
      <c r="A183" s="21">
        <v>200</v>
      </c>
      <c r="B183" s="2" t="s">
        <v>133</v>
      </c>
      <c r="C183" s="26">
        <v>0</v>
      </c>
      <c r="D183" s="26">
        <v>0</v>
      </c>
      <c r="E183" s="26">
        <v>0</v>
      </c>
      <c r="F183" s="26">
        <v>0</v>
      </c>
      <c r="G183" s="15">
        <f t="shared" si="163"/>
        <v>0</v>
      </c>
      <c r="H183" s="26">
        <v>0</v>
      </c>
      <c r="I183" s="26">
        <v>0</v>
      </c>
      <c r="J183" s="26">
        <v>0</v>
      </c>
      <c r="K183" s="26">
        <v>0</v>
      </c>
      <c r="L183" s="15">
        <f t="shared" si="164"/>
        <v>0</v>
      </c>
      <c r="M183" s="26">
        <v>0</v>
      </c>
      <c r="N183" s="26">
        <v>0</v>
      </c>
      <c r="O183" s="26">
        <v>0</v>
      </c>
      <c r="P183" s="26">
        <v>0</v>
      </c>
      <c r="Q183" s="25">
        <f t="shared" si="147"/>
        <v>0</v>
      </c>
      <c r="R183" s="26">
        <v>8.85</v>
      </c>
      <c r="S183" s="26">
        <v>0</v>
      </c>
      <c r="T183" s="26">
        <v>0</v>
      </c>
      <c r="U183" s="26">
        <v>0</v>
      </c>
      <c r="V183" s="15">
        <f t="shared" si="143"/>
        <v>8.85</v>
      </c>
      <c r="W183" s="26">
        <v>27</v>
      </c>
      <c r="X183" s="26">
        <v>0</v>
      </c>
      <c r="Y183" s="26">
        <v>0</v>
      </c>
      <c r="Z183" s="26">
        <v>0</v>
      </c>
      <c r="AA183" s="15">
        <f t="shared" si="144"/>
        <v>27</v>
      </c>
      <c r="AB183" s="26">
        <f>0.56+42.79</f>
        <v>43.35</v>
      </c>
      <c r="AC183" s="26">
        <v>0</v>
      </c>
      <c r="AD183" s="26">
        <v>0</v>
      </c>
      <c r="AE183" s="26">
        <v>0</v>
      </c>
      <c r="AF183" s="15">
        <f t="shared" si="145"/>
        <v>43.35</v>
      </c>
      <c r="AG183" s="26">
        <f>0.65+46.59</f>
        <v>47.24</v>
      </c>
      <c r="AH183" s="26">
        <v>0</v>
      </c>
      <c r="AI183" s="26">
        <v>0</v>
      </c>
      <c r="AJ183" s="26">
        <v>0</v>
      </c>
      <c r="AK183" s="15">
        <f t="shared" si="137"/>
        <v>47.24</v>
      </c>
      <c r="AL183" s="26">
        <f t="shared" si="167"/>
        <v>47.24</v>
      </c>
      <c r="AM183" s="26">
        <f t="shared" si="165"/>
        <v>0</v>
      </c>
      <c r="AN183" s="26">
        <f t="shared" si="166"/>
        <v>0</v>
      </c>
      <c r="AO183" s="26">
        <v>0</v>
      </c>
      <c r="AP183" s="15">
        <f t="shared" si="138"/>
        <v>47.24</v>
      </c>
      <c r="AQ183" s="26">
        <f t="shared" si="168"/>
        <v>47.24</v>
      </c>
      <c r="AR183" s="26">
        <f t="shared" si="168"/>
        <v>0</v>
      </c>
      <c r="AS183" s="26">
        <f t="shared" si="150"/>
        <v>0</v>
      </c>
      <c r="AT183" s="26">
        <v>0</v>
      </c>
      <c r="AU183" s="15">
        <f t="shared" si="139"/>
        <v>47.24</v>
      </c>
      <c r="AV183" s="26">
        <f t="shared" si="169"/>
        <v>47.24</v>
      </c>
      <c r="AW183" s="26">
        <f t="shared" si="169"/>
        <v>0</v>
      </c>
      <c r="AX183" s="26">
        <f t="shared" si="159"/>
        <v>0</v>
      </c>
      <c r="AY183" s="26"/>
      <c r="AZ183" s="15">
        <f t="shared" si="146"/>
        <v>47.24</v>
      </c>
      <c r="BA183" s="26">
        <f t="shared" si="170"/>
        <v>47.24</v>
      </c>
      <c r="BB183" s="26">
        <f t="shared" si="170"/>
        <v>0</v>
      </c>
      <c r="BC183" s="26">
        <f t="shared" si="161"/>
        <v>0</v>
      </c>
      <c r="BD183" s="26">
        <v>0</v>
      </c>
      <c r="BE183" s="15">
        <f t="shared" si="140"/>
        <v>47.24</v>
      </c>
      <c r="BF183" s="26">
        <f t="shared" si="152"/>
        <v>47.24</v>
      </c>
      <c r="BG183" s="26">
        <f t="shared" si="152"/>
        <v>0</v>
      </c>
      <c r="BH183" s="26">
        <f t="shared" si="153"/>
        <v>0</v>
      </c>
      <c r="BI183" s="26">
        <v>0</v>
      </c>
      <c r="BJ183" s="15">
        <f t="shared" si="141"/>
        <v>47.24</v>
      </c>
      <c r="BK183" s="26">
        <f t="shared" si="154"/>
        <v>47.24</v>
      </c>
      <c r="BL183" s="26">
        <f t="shared" si="154"/>
        <v>0</v>
      </c>
      <c r="BM183" s="26">
        <f t="shared" si="162"/>
        <v>0</v>
      </c>
      <c r="BN183" s="26">
        <f t="shared" si="155"/>
        <v>0</v>
      </c>
      <c r="BO183" s="15">
        <f t="shared" si="142"/>
        <v>47.24</v>
      </c>
      <c r="BP183" s="20"/>
      <c r="BQ183" s="18"/>
    </row>
    <row r="184" spans="1:69" s="19" customFormat="1" ht="30">
      <c r="A184" s="21"/>
      <c r="B184" s="2" t="s">
        <v>144</v>
      </c>
      <c r="C184" s="26">
        <v>0</v>
      </c>
      <c r="D184" s="26">
        <v>0</v>
      </c>
      <c r="E184" s="26">
        <v>0</v>
      </c>
      <c r="F184" s="26">
        <v>0</v>
      </c>
      <c r="G184" s="15">
        <f t="shared" si="163"/>
        <v>0</v>
      </c>
      <c r="H184" s="26">
        <v>0</v>
      </c>
      <c r="I184" s="26">
        <v>0</v>
      </c>
      <c r="J184" s="26">
        <v>0</v>
      </c>
      <c r="K184" s="26">
        <v>0</v>
      </c>
      <c r="L184" s="15">
        <f t="shared" si="164"/>
        <v>0</v>
      </c>
      <c r="M184" s="26">
        <v>0</v>
      </c>
      <c r="N184" s="26">
        <v>0</v>
      </c>
      <c r="O184" s="26">
        <v>0</v>
      </c>
      <c r="P184" s="26">
        <v>0</v>
      </c>
      <c r="Q184" s="25">
        <f t="shared" si="147"/>
        <v>0</v>
      </c>
      <c r="R184" s="26">
        <v>0</v>
      </c>
      <c r="S184" s="26">
        <v>0</v>
      </c>
      <c r="T184" s="26">
        <v>0</v>
      </c>
      <c r="U184" s="26">
        <v>0</v>
      </c>
      <c r="V184" s="15">
        <f t="shared" si="143"/>
        <v>0</v>
      </c>
      <c r="W184" s="26">
        <v>0</v>
      </c>
      <c r="X184" s="26">
        <v>0</v>
      </c>
      <c r="Y184" s="26">
        <v>0</v>
      </c>
      <c r="Z184" s="26">
        <v>0</v>
      </c>
      <c r="AA184" s="15">
        <f t="shared" si="144"/>
        <v>0</v>
      </c>
      <c r="AB184" s="26">
        <v>0</v>
      </c>
      <c r="AC184" s="26">
        <v>0</v>
      </c>
      <c r="AD184" s="26">
        <v>0</v>
      </c>
      <c r="AE184" s="26">
        <v>0</v>
      </c>
      <c r="AF184" s="15">
        <f t="shared" si="145"/>
        <v>0</v>
      </c>
      <c r="AG184" s="26">
        <v>0</v>
      </c>
      <c r="AH184" s="26">
        <v>0</v>
      </c>
      <c r="AI184" s="26">
        <v>0</v>
      </c>
      <c r="AJ184" s="26">
        <v>0</v>
      </c>
      <c r="AK184" s="15">
        <f t="shared" si="137"/>
        <v>0</v>
      </c>
      <c r="AL184" s="26">
        <f t="shared" si="167"/>
        <v>0</v>
      </c>
      <c r="AM184" s="26">
        <f t="shared" si="165"/>
        <v>0</v>
      </c>
      <c r="AN184" s="26">
        <f t="shared" si="166"/>
        <v>0</v>
      </c>
      <c r="AO184" s="26">
        <v>0</v>
      </c>
      <c r="AP184" s="15">
        <f t="shared" si="138"/>
        <v>0</v>
      </c>
      <c r="AQ184" s="26">
        <f t="shared" si="168"/>
        <v>0</v>
      </c>
      <c r="AR184" s="26">
        <f t="shared" si="168"/>
        <v>0</v>
      </c>
      <c r="AS184" s="26">
        <f t="shared" si="150"/>
        <v>0</v>
      </c>
      <c r="AT184" s="26">
        <v>0</v>
      </c>
      <c r="AU184" s="15">
        <f t="shared" si="139"/>
        <v>0</v>
      </c>
      <c r="AV184" s="26">
        <f t="shared" si="169"/>
        <v>0</v>
      </c>
      <c r="AW184" s="26">
        <f t="shared" si="169"/>
        <v>0</v>
      </c>
      <c r="AX184" s="26">
        <f t="shared" si="159"/>
        <v>0</v>
      </c>
      <c r="AY184" s="26"/>
      <c r="AZ184" s="15">
        <f t="shared" si="146"/>
        <v>0</v>
      </c>
      <c r="BA184" s="26">
        <f t="shared" si="170"/>
        <v>0</v>
      </c>
      <c r="BB184" s="26">
        <f t="shared" si="170"/>
        <v>0</v>
      </c>
      <c r="BC184" s="26">
        <f t="shared" si="161"/>
        <v>0</v>
      </c>
      <c r="BD184" s="26">
        <v>0</v>
      </c>
      <c r="BE184" s="15">
        <f t="shared" si="140"/>
        <v>0</v>
      </c>
      <c r="BF184" s="26">
        <f t="shared" si="152"/>
        <v>0</v>
      </c>
      <c r="BG184" s="26">
        <f t="shared" si="152"/>
        <v>0</v>
      </c>
      <c r="BH184" s="26">
        <f t="shared" si="153"/>
        <v>0</v>
      </c>
      <c r="BI184" s="26">
        <v>0</v>
      </c>
      <c r="BJ184" s="15">
        <f t="shared" si="141"/>
        <v>0</v>
      </c>
      <c r="BK184" s="26">
        <f t="shared" si="154"/>
        <v>0</v>
      </c>
      <c r="BL184" s="26">
        <f t="shared" si="154"/>
        <v>0</v>
      </c>
      <c r="BM184" s="26">
        <f t="shared" si="162"/>
        <v>0</v>
      </c>
      <c r="BN184" s="26">
        <f t="shared" si="155"/>
        <v>0</v>
      </c>
      <c r="BO184" s="15">
        <f t="shared" si="142"/>
        <v>0</v>
      </c>
      <c r="BP184" s="20"/>
      <c r="BQ184" s="18"/>
    </row>
    <row r="185" spans="1:69" s="19" customFormat="1" ht="30">
      <c r="A185" s="33" t="s">
        <v>141</v>
      </c>
      <c r="B185" s="2" t="s">
        <v>212</v>
      </c>
      <c r="C185" s="26">
        <v>0</v>
      </c>
      <c r="D185" s="26">
        <v>0</v>
      </c>
      <c r="E185" s="26">
        <v>0</v>
      </c>
      <c r="F185" s="26">
        <v>0</v>
      </c>
      <c r="G185" s="15">
        <f t="shared" si="163"/>
        <v>0</v>
      </c>
      <c r="H185" s="26">
        <v>0</v>
      </c>
      <c r="I185" s="26">
        <v>0</v>
      </c>
      <c r="J185" s="26">
        <v>0</v>
      </c>
      <c r="K185" s="26">
        <v>0</v>
      </c>
      <c r="L185" s="15">
        <f t="shared" si="164"/>
        <v>0</v>
      </c>
      <c r="M185" s="26">
        <v>0</v>
      </c>
      <c r="N185" s="26">
        <v>0</v>
      </c>
      <c r="O185" s="26">
        <v>0</v>
      </c>
      <c r="P185" s="26">
        <v>0</v>
      </c>
      <c r="Q185" s="25">
        <f t="shared" si="147"/>
        <v>0</v>
      </c>
      <c r="R185" s="26">
        <v>0</v>
      </c>
      <c r="S185" s="26">
        <v>0</v>
      </c>
      <c r="T185" s="26">
        <v>0</v>
      </c>
      <c r="U185" s="26">
        <v>0</v>
      </c>
      <c r="V185" s="15">
        <f t="shared" si="143"/>
        <v>0</v>
      </c>
      <c r="W185" s="26">
        <v>0</v>
      </c>
      <c r="X185" s="26">
        <v>0</v>
      </c>
      <c r="Y185" s="26">
        <v>0</v>
      </c>
      <c r="Z185" s="26">
        <v>0</v>
      </c>
      <c r="AA185" s="15">
        <f t="shared" si="144"/>
        <v>0</v>
      </c>
      <c r="AB185" s="26">
        <v>0</v>
      </c>
      <c r="AC185" s="26">
        <v>0</v>
      </c>
      <c r="AD185" s="26">
        <v>0</v>
      </c>
      <c r="AE185" s="26">
        <v>0</v>
      </c>
      <c r="AF185" s="15">
        <f t="shared" si="145"/>
        <v>0</v>
      </c>
      <c r="AG185" s="26">
        <v>0</v>
      </c>
      <c r="AH185" s="26">
        <v>0</v>
      </c>
      <c r="AI185" s="26">
        <v>0</v>
      </c>
      <c r="AJ185" s="26">
        <v>0</v>
      </c>
      <c r="AK185" s="15">
        <f t="shared" si="137"/>
        <v>0</v>
      </c>
      <c r="AL185" s="26">
        <f t="shared" si="167"/>
        <v>0</v>
      </c>
      <c r="AM185" s="26">
        <f t="shared" si="165"/>
        <v>0</v>
      </c>
      <c r="AN185" s="26">
        <f t="shared" si="166"/>
        <v>0</v>
      </c>
      <c r="AO185" s="26">
        <v>0</v>
      </c>
      <c r="AP185" s="15">
        <f t="shared" si="138"/>
        <v>0</v>
      </c>
      <c r="AQ185" s="26">
        <f t="shared" si="168"/>
        <v>0</v>
      </c>
      <c r="AR185" s="26">
        <f t="shared" si="168"/>
        <v>0</v>
      </c>
      <c r="AS185" s="26">
        <f t="shared" si="150"/>
        <v>0</v>
      </c>
      <c r="AT185" s="26">
        <v>0</v>
      </c>
      <c r="AU185" s="15">
        <f t="shared" si="139"/>
        <v>0</v>
      </c>
      <c r="AV185" s="26">
        <f t="shared" si="169"/>
        <v>0</v>
      </c>
      <c r="AW185" s="26">
        <f t="shared" si="169"/>
        <v>0</v>
      </c>
      <c r="AX185" s="26">
        <f t="shared" si="159"/>
        <v>0</v>
      </c>
      <c r="AY185" s="26"/>
      <c r="AZ185" s="15">
        <f t="shared" si="146"/>
        <v>0</v>
      </c>
      <c r="BA185" s="26">
        <f t="shared" si="170"/>
        <v>0</v>
      </c>
      <c r="BB185" s="26">
        <f t="shared" si="170"/>
        <v>0</v>
      </c>
      <c r="BC185" s="26">
        <f t="shared" si="161"/>
        <v>0</v>
      </c>
      <c r="BD185" s="26">
        <v>0</v>
      </c>
      <c r="BE185" s="15">
        <f t="shared" si="140"/>
        <v>0</v>
      </c>
      <c r="BF185" s="26">
        <f t="shared" si="152"/>
        <v>0</v>
      </c>
      <c r="BG185" s="26">
        <f t="shared" si="152"/>
        <v>0</v>
      </c>
      <c r="BH185" s="26">
        <f t="shared" si="153"/>
        <v>0</v>
      </c>
      <c r="BI185" s="26">
        <v>0</v>
      </c>
      <c r="BJ185" s="15">
        <f t="shared" si="141"/>
        <v>0</v>
      </c>
      <c r="BK185" s="26">
        <f t="shared" si="154"/>
        <v>0</v>
      </c>
      <c r="BL185" s="26">
        <f t="shared" si="154"/>
        <v>0</v>
      </c>
      <c r="BM185" s="26">
        <f t="shared" si="162"/>
        <v>0</v>
      </c>
      <c r="BN185" s="26">
        <f t="shared" si="155"/>
        <v>0</v>
      </c>
      <c r="BO185" s="15">
        <f t="shared" si="142"/>
        <v>0</v>
      </c>
      <c r="BP185" s="20"/>
      <c r="BQ185" s="18"/>
    </row>
    <row r="186" spans="1:69" s="19" customFormat="1" ht="45">
      <c r="A186" s="21">
        <v>502</v>
      </c>
      <c r="B186" s="2" t="s">
        <v>142</v>
      </c>
      <c r="C186" s="26">
        <v>0</v>
      </c>
      <c r="D186" s="26">
        <v>0</v>
      </c>
      <c r="E186" s="26">
        <v>0</v>
      </c>
      <c r="F186" s="26">
        <v>0</v>
      </c>
      <c r="G186" s="15">
        <f t="shared" si="163"/>
        <v>0</v>
      </c>
      <c r="H186" s="26">
        <v>0</v>
      </c>
      <c r="I186" s="26">
        <v>0</v>
      </c>
      <c r="J186" s="26">
        <v>0</v>
      </c>
      <c r="K186" s="26">
        <v>0</v>
      </c>
      <c r="L186" s="15">
        <f t="shared" si="164"/>
        <v>0</v>
      </c>
      <c r="M186" s="26">
        <v>0</v>
      </c>
      <c r="N186" s="26">
        <v>0</v>
      </c>
      <c r="O186" s="26">
        <v>0</v>
      </c>
      <c r="P186" s="26">
        <v>0</v>
      </c>
      <c r="Q186" s="25">
        <f t="shared" si="147"/>
        <v>0</v>
      </c>
      <c r="R186" s="26">
        <v>0</v>
      </c>
      <c r="S186" s="26">
        <v>0</v>
      </c>
      <c r="T186" s="26">
        <v>0</v>
      </c>
      <c r="U186" s="26">
        <v>0</v>
      </c>
      <c r="V186" s="15">
        <f t="shared" si="143"/>
        <v>0</v>
      </c>
      <c r="W186" s="26">
        <v>0</v>
      </c>
      <c r="X186" s="26">
        <v>0</v>
      </c>
      <c r="Y186" s="26">
        <v>0</v>
      </c>
      <c r="Z186" s="26">
        <v>0</v>
      </c>
      <c r="AA186" s="15">
        <f t="shared" si="144"/>
        <v>0</v>
      </c>
      <c r="AB186" s="26">
        <v>0</v>
      </c>
      <c r="AC186" s="26">
        <v>0</v>
      </c>
      <c r="AD186" s="26">
        <v>0</v>
      </c>
      <c r="AE186" s="26">
        <v>0</v>
      </c>
      <c r="AF186" s="15">
        <f t="shared" si="145"/>
        <v>0</v>
      </c>
      <c r="AG186" s="26">
        <v>0</v>
      </c>
      <c r="AH186" s="26">
        <v>0</v>
      </c>
      <c r="AI186" s="26">
        <v>0</v>
      </c>
      <c r="AJ186" s="26">
        <v>0</v>
      </c>
      <c r="AK186" s="15">
        <f t="shared" si="137"/>
        <v>0</v>
      </c>
      <c r="AL186" s="26">
        <f t="shared" si="167"/>
        <v>0</v>
      </c>
      <c r="AM186" s="26">
        <f t="shared" si="165"/>
        <v>0</v>
      </c>
      <c r="AN186" s="26">
        <f t="shared" si="166"/>
        <v>0</v>
      </c>
      <c r="AO186" s="26">
        <v>0</v>
      </c>
      <c r="AP186" s="15">
        <f t="shared" si="138"/>
        <v>0</v>
      </c>
      <c r="AQ186" s="26">
        <f t="shared" si="168"/>
        <v>0</v>
      </c>
      <c r="AR186" s="26">
        <f t="shared" si="168"/>
        <v>0</v>
      </c>
      <c r="AS186" s="26">
        <f t="shared" si="150"/>
        <v>0</v>
      </c>
      <c r="AT186" s="26">
        <v>0</v>
      </c>
      <c r="AU186" s="15">
        <f t="shared" si="139"/>
        <v>0</v>
      </c>
      <c r="AV186" s="26">
        <f t="shared" si="169"/>
        <v>0</v>
      </c>
      <c r="AW186" s="26">
        <f t="shared" si="169"/>
        <v>0</v>
      </c>
      <c r="AX186" s="26">
        <f t="shared" si="159"/>
        <v>0</v>
      </c>
      <c r="AY186" s="26"/>
      <c r="AZ186" s="15">
        <f t="shared" si="146"/>
        <v>0</v>
      </c>
      <c r="BA186" s="26">
        <f t="shared" si="170"/>
        <v>0</v>
      </c>
      <c r="BB186" s="26">
        <f t="shared" si="170"/>
        <v>0</v>
      </c>
      <c r="BC186" s="26">
        <f t="shared" si="161"/>
        <v>0</v>
      </c>
      <c r="BD186" s="26">
        <v>0</v>
      </c>
      <c r="BE186" s="15">
        <f t="shared" si="140"/>
        <v>0</v>
      </c>
      <c r="BF186" s="26">
        <f t="shared" si="152"/>
        <v>0</v>
      </c>
      <c r="BG186" s="26">
        <f t="shared" si="152"/>
        <v>0</v>
      </c>
      <c r="BH186" s="26">
        <f t="shared" si="153"/>
        <v>0</v>
      </c>
      <c r="BI186" s="26">
        <v>0</v>
      </c>
      <c r="BJ186" s="15">
        <f t="shared" si="141"/>
        <v>0</v>
      </c>
      <c r="BK186" s="26">
        <f t="shared" si="154"/>
        <v>0</v>
      </c>
      <c r="BL186" s="26">
        <f t="shared" si="154"/>
        <v>0</v>
      </c>
      <c r="BM186" s="26">
        <f t="shared" si="162"/>
        <v>0</v>
      </c>
      <c r="BN186" s="26">
        <f t="shared" si="155"/>
        <v>0</v>
      </c>
      <c r="BO186" s="15">
        <f t="shared" si="142"/>
        <v>0</v>
      </c>
      <c r="BP186" s="20"/>
      <c r="BQ186" s="18"/>
    </row>
    <row r="187" spans="1:69" s="19" customFormat="1" ht="30">
      <c r="A187" s="21"/>
      <c r="B187" s="14" t="s">
        <v>134</v>
      </c>
      <c r="C187" s="29">
        <f aca="true" t="shared" si="171" ref="C187:P187">SUM(C5+C55+C98+C173)</f>
        <v>1928.8</v>
      </c>
      <c r="D187" s="29">
        <f t="shared" si="171"/>
        <v>419.77</v>
      </c>
      <c r="E187" s="29">
        <f t="shared" si="171"/>
        <v>65.13</v>
      </c>
      <c r="F187" s="29">
        <f t="shared" si="171"/>
        <v>0.66</v>
      </c>
      <c r="G187" s="29">
        <f t="shared" si="171"/>
        <v>2348.57</v>
      </c>
      <c r="H187" s="29">
        <f t="shared" si="171"/>
        <v>1775.8699999999997</v>
      </c>
      <c r="I187" s="29">
        <f t="shared" si="171"/>
        <v>517.73</v>
      </c>
      <c r="J187" s="29">
        <f t="shared" si="171"/>
        <v>74.82</v>
      </c>
      <c r="K187" s="29">
        <f t="shared" si="171"/>
        <v>1.9899999999999998</v>
      </c>
      <c r="L187" s="29">
        <f t="shared" si="171"/>
        <v>2293.6</v>
      </c>
      <c r="M187" s="29">
        <f t="shared" si="171"/>
        <v>2165.34</v>
      </c>
      <c r="N187" s="29">
        <f t="shared" si="171"/>
        <v>572.7</v>
      </c>
      <c r="O187" s="29">
        <f t="shared" si="171"/>
        <v>64.61</v>
      </c>
      <c r="P187" s="29">
        <f t="shared" si="171"/>
        <v>0.66</v>
      </c>
      <c r="Q187" s="49">
        <f t="shared" si="147"/>
        <v>2738.04</v>
      </c>
      <c r="R187" s="29">
        <f>SUM(R5+R55+R98+R173)</f>
        <v>2232.26</v>
      </c>
      <c r="S187" s="29">
        <f>SUM(S5+S55+S98+S173)</f>
        <v>675.27</v>
      </c>
      <c r="T187" s="29">
        <f>SUM(T5+T55+T98+T173)</f>
        <v>87.31</v>
      </c>
      <c r="U187" s="29">
        <f>SUM(U5+U55+U98+U173)</f>
        <v>3.17</v>
      </c>
      <c r="V187" s="15">
        <f t="shared" si="143"/>
        <v>2907.53</v>
      </c>
      <c r="W187" s="29">
        <f aca="true" t="shared" si="172" ref="W187:AE187">SUM(W5+W55+W98+W173)</f>
        <v>2481.76</v>
      </c>
      <c r="X187" s="29">
        <f t="shared" si="172"/>
        <v>748.3799999999999</v>
      </c>
      <c r="Y187" s="29">
        <f t="shared" si="172"/>
        <v>95.29</v>
      </c>
      <c r="Z187" s="29">
        <f t="shared" si="172"/>
        <v>5.32</v>
      </c>
      <c r="AA187" s="29">
        <f t="shared" si="172"/>
        <v>3230.1400000000003</v>
      </c>
      <c r="AB187" s="29">
        <f t="shared" si="172"/>
        <v>2528.11</v>
      </c>
      <c r="AC187" s="29">
        <f t="shared" si="172"/>
        <v>1066.26</v>
      </c>
      <c r="AD187" s="29">
        <f t="shared" si="172"/>
        <v>44.475</v>
      </c>
      <c r="AE187" s="29">
        <f t="shared" si="172"/>
        <v>6.41</v>
      </c>
      <c r="AF187" s="15">
        <f t="shared" si="145"/>
        <v>3594.37</v>
      </c>
      <c r="AG187" s="29">
        <f>SUM(AG5+AG55+AG98+AG173)</f>
        <v>2758.22</v>
      </c>
      <c r="AH187" s="29">
        <f>SUM(AH5+AH55+AH98+AH173)</f>
        <v>1225.09</v>
      </c>
      <c r="AI187" s="29">
        <f>SUM(AI5+AI55+AI98+AI173)</f>
        <v>138.01000000000002</v>
      </c>
      <c r="AJ187" s="29">
        <f>SUM(AJ5+AJ55+AJ98+AJ173)</f>
        <v>10.27</v>
      </c>
      <c r="AK187" s="15">
        <f t="shared" si="137"/>
        <v>3983.3099999999995</v>
      </c>
      <c r="AL187" s="29">
        <f aca="true" t="shared" si="173" ref="AL187:BO187">SUM(AL5+AL55+AL98+AL173)</f>
        <v>3109.766552517767</v>
      </c>
      <c r="AM187" s="29">
        <f t="shared" si="173"/>
        <v>1354.1751989944373</v>
      </c>
      <c r="AN187" s="29">
        <f t="shared" si="173"/>
        <v>151.36825</v>
      </c>
      <c r="AO187" s="29">
        <f t="shared" si="173"/>
        <v>0</v>
      </c>
      <c r="AP187" s="29">
        <f t="shared" si="173"/>
        <v>4463.941751512205</v>
      </c>
      <c r="AQ187" s="29">
        <f t="shared" si="173"/>
        <v>3515.1197180781655</v>
      </c>
      <c r="AR187" s="29">
        <f t="shared" si="173"/>
        <v>1497.7802768533554</v>
      </c>
      <c r="AS187" s="29">
        <f t="shared" si="173"/>
        <v>166.229303125</v>
      </c>
      <c r="AT187" s="29">
        <f t="shared" si="173"/>
        <v>0</v>
      </c>
      <c r="AU187" s="29">
        <f t="shared" si="173"/>
        <v>5012.899994931521</v>
      </c>
      <c r="AV187" s="29">
        <f t="shared" si="173"/>
        <v>3807.2612474466737</v>
      </c>
      <c r="AW187" s="29">
        <f t="shared" si="173"/>
        <v>1657.5384992545473</v>
      </c>
      <c r="AX187" s="29">
        <f t="shared" si="173"/>
        <v>182.7622247265625</v>
      </c>
      <c r="AY187" s="29">
        <f t="shared" si="173"/>
        <v>0</v>
      </c>
      <c r="AZ187" s="29">
        <f t="shared" si="173"/>
        <v>5464.79974670122</v>
      </c>
      <c r="BA187" s="29">
        <f t="shared" si="173"/>
        <v>4233.085825004463</v>
      </c>
      <c r="BB187" s="29">
        <f t="shared" si="173"/>
        <v>1835.2668521858836</v>
      </c>
      <c r="BC187" s="29">
        <f t="shared" si="173"/>
        <v>201.1551000083008</v>
      </c>
      <c r="BD187" s="29">
        <f t="shared" si="173"/>
        <v>0</v>
      </c>
      <c r="BE187" s="29">
        <f t="shared" si="173"/>
        <v>6068.352677190346</v>
      </c>
      <c r="BF187" s="29">
        <f t="shared" si="173"/>
        <v>4549.836497330732</v>
      </c>
      <c r="BG187" s="29">
        <f t="shared" si="173"/>
        <v>2032.9867082714102</v>
      </c>
      <c r="BH187" s="29">
        <f t="shared" si="173"/>
        <v>221.61717375923462</v>
      </c>
      <c r="BI187" s="29">
        <f t="shared" si="173"/>
        <v>0</v>
      </c>
      <c r="BJ187" s="29">
        <f t="shared" si="173"/>
        <v>6582.8232056021425</v>
      </c>
      <c r="BK187" s="29">
        <f t="shared" si="173"/>
        <v>5209.16346084921</v>
      </c>
      <c r="BL187" s="29">
        <f t="shared" si="173"/>
        <v>2252.9468178381535</v>
      </c>
      <c r="BM187" s="29">
        <f t="shared" si="173"/>
        <v>244.3812308071485</v>
      </c>
      <c r="BN187" s="29">
        <f t="shared" si="173"/>
        <v>0</v>
      </c>
      <c r="BO187" s="29">
        <f t="shared" si="173"/>
        <v>7462.110278687363</v>
      </c>
      <c r="BP187" s="17">
        <v>0.12901602495308012</v>
      </c>
      <c r="BQ187" s="18">
        <v>10.718270884210028</v>
      </c>
    </row>
    <row r="188" spans="1:69" s="19" customFormat="1" ht="30">
      <c r="A188" s="21"/>
      <c r="B188" s="14" t="s">
        <v>144</v>
      </c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15">
        <f t="shared" si="143"/>
        <v>0</v>
      </c>
      <c r="W188" s="29"/>
      <c r="X188" s="29"/>
      <c r="Y188" s="29"/>
      <c r="Z188" s="29"/>
      <c r="AA188" s="29"/>
      <c r="AB188" s="29"/>
      <c r="AC188" s="29"/>
      <c r="AD188" s="29"/>
      <c r="AE188" s="29"/>
      <c r="AF188" s="15">
        <f t="shared" si="145"/>
        <v>0</v>
      </c>
      <c r="AG188" s="29"/>
      <c r="AH188" s="29"/>
      <c r="AI188" s="29"/>
      <c r="AJ188" s="29"/>
      <c r="AK188" s="15">
        <f t="shared" si="137"/>
        <v>0</v>
      </c>
      <c r="AL188" s="29"/>
      <c r="AM188" s="29"/>
      <c r="AN188" s="29"/>
      <c r="AO188" s="29"/>
      <c r="AP188" s="15">
        <f t="shared" si="138"/>
        <v>0</v>
      </c>
      <c r="AQ188" s="29"/>
      <c r="AR188" s="29"/>
      <c r="AS188" s="29"/>
      <c r="AT188" s="29"/>
      <c r="AU188" s="15">
        <f t="shared" si="139"/>
        <v>0</v>
      </c>
      <c r="AV188" s="29"/>
      <c r="AW188" s="29"/>
      <c r="AX188" s="29"/>
      <c r="AY188" s="29"/>
      <c r="AZ188" s="29"/>
      <c r="BA188" s="15">
        <f>+AW188+AX188</f>
        <v>0</v>
      </c>
      <c r="BB188" s="29"/>
      <c r="BC188" s="29"/>
      <c r="BD188" s="29"/>
      <c r="BE188" s="15">
        <f t="shared" si="140"/>
        <v>0</v>
      </c>
      <c r="BF188" s="29"/>
      <c r="BG188" s="29"/>
      <c r="BH188" s="29"/>
      <c r="BI188" s="29"/>
      <c r="BJ188" s="15">
        <f t="shared" si="141"/>
        <v>0</v>
      </c>
      <c r="BK188" s="29"/>
      <c r="BL188" s="29"/>
      <c r="BM188" s="29"/>
      <c r="BN188" s="29"/>
      <c r="BO188" s="15">
        <f t="shared" si="142"/>
        <v>0</v>
      </c>
      <c r="BP188" s="20"/>
      <c r="BQ188" s="18"/>
    </row>
    <row r="189" spans="1:69" s="19" customFormat="1" ht="30">
      <c r="A189" s="50" t="s">
        <v>214</v>
      </c>
      <c r="B189" s="51" t="s">
        <v>216</v>
      </c>
      <c r="C189" s="52">
        <f>C190+C191+C192+C194</f>
        <v>0</v>
      </c>
      <c r="D189" s="52">
        <f aca="true" t="shared" si="174" ref="D189:AD189">D190+D191+D192+D194</f>
        <v>0</v>
      </c>
      <c r="E189" s="52">
        <f t="shared" si="174"/>
        <v>0</v>
      </c>
      <c r="F189" s="52">
        <f>F190+F191+F192+F194</f>
        <v>0</v>
      </c>
      <c r="G189" s="52">
        <f t="shared" si="174"/>
        <v>0</v>
      </c>
      <c r="H189" s="52">
        <f t="shared" si="174"/>
        <v>0</v>
      </c>
      <c r="I189" s="52">
        <f t="shared" si="174"/>
        <v>0</v>
      </c>
      <c r="J189" s="52">
        <f t="shared" si="174"/>
        <v>0</v>
      </c>
      <c r="K189" s="52">
        <f t="shared" si="174"/>
        <v>0</v>
      </c>
      <c r="L189" s="52">
        <f t="shared" si="174"/>
        <v>0</v>
      </c>
      <c r="M189" s="52">
        <f t="shared" si="174"/>
        <v>0</v>
      </c>
      <c r="N189" s="52">
        <f t="shared" si="174"/>
        <v>0</v>
      </c>
      <c r="O189" s="52">
        <f t="shared" si="174"/>
        <v>0</v>
      </c>
      <c r="P189" s="52">
        <f>P190+P191+P192+P194</f>
        <v>0</v>
      </c>
      <c r="Q189" s="52">
        <f t="shared" si="174"/>
        <v>0</v>
      </c>
      <c r="R189" s="52">
        <f t="shared" si="174"/>
        <v>0</v>
      </c>
      <c r="S189" s="52">
        <f t="shared" si="174"/>
        <v>0</v>
      </c>
      <c r="T189" s="52">
        <f t="shared" si="174"/>
        <v>0</v>
      </c>
      <c r="U189" s="52">
        <f>U190+U191+U192+U194</f>
        <v>0</v>
      </c>
      <c r="V189" s="15">
        <f t="shared" si="143"/>
        <v>0</v>
      </c>
      <c r="W189" s="52">
        <f t="shared" si="174"/>
        <v>0</v>
      </c>
      <c r="X189" s="52">
        <f t="shared" si="174"/>
        <v>0</v>
      </c>
      <c r="Y189" s="52">
        <f t="shared" si="174"/>
        <v>0</v>
      </c>
      <c r="Z189" s="52">
        <f t="shared" si="174"/>
        <v>0</v>
      </c>
      <c r="AA189" s="52">
        <f t="shared" si="174"/>
        <v>0</v>
      </c>
      <c r="AB189" s="52">
        <f t="shared" si="174"/>
        <v>0</v>
      </c>
      <c r="AC189" s="52">
        <f t="shared" si="174"/>
        <v>0</v>
      </c>
      <c r="AD189" s="52">
        <f t="shared" si="174"/>
        <v>0</v>
      </c>
      <c r="AE189" s="52">
        <f>AE190+AE191+AE192+AE194</f>
        <v>0</v>
      </c>
      <c r="AF189" s="15">
        <f t="shared" si="145"/>
        <v>0</v>
      </c>
      <c r="AG189" s="52">
        <f>AG190+AG191+AG192</f>
        <v>0</v>
      </c>
      <c r="AH189" s="52">
        <f aca="true" t="shared" si="175" ref="AH189:BO189">AH190+AH191+AH192</f>
        <v>0</v>
      </c>
      <c r="AI189" s="52">
        <f t="shared" si="175"/>
        <v>0</v>
      </c>
      <c r="AJ189" s="52">
        <f t="shared" si="175"/>
        <v>0</v>
      </c>
      <c r="AK189" s="52">
        <f t="shared" si="175"/>
        <v>0</v>
      </c>
      <c r="AL189" s="52">
        <f t="shared" si="175"/>
        <v>0</v>
      </c>
      <c r="AM189" s="52">
        <f t="shared" si="175"/>
        <v>0</v>
      </c>
      <c r="AN189" s="52">
        <f t="shared" si="175"/>
        <v>0</v>
      </c>
      <c r="AO189" s="52">
        <f t="shared" si="175"/>
        <v>0</v>
      </c>
      <c r="AP189" s="52">
        <f t="shared" si="175"/>
        <v>0</v>
      </c>
      <c r="AQ189" s="52">
        <f t="shared" si="175"/>
        <v>0</v>
      </c>
      <c r="AR189" s="52">
        <f t="shared" si="175"/>
        <v>0</v>
      </c>
      <c r="AS189" s="52">
        <f t="shared" si="175"/>
        <v>0</v>
      </c>
      <c r="AT189" s="52">
        <f t="shared" si="175"/>
        <v>0</v>
      </c>
      <c r="AU189" s="52">
        <f t="shared" si="175"/>
        <v>0</v>
      </c>
      <c r="AV189" s="52">
        <f t="shared" si="175"/>
        <v>0</v>
      </c>
      <c r="AW189" s="52">
        <f t="shared" si="175"/>
        <v>0</v>
      </c>
      <c r="AX189" s="52">
        <f t="shared" si="175"/>
        <v>0</v>
      </c>
      <c r="AY189" s="52">
        <f t="shared" si="175"/>
        <v>0</v>
      </c>
      <c r="AZ189" s="52">
        <f t="shared" si="175"/>
        <v>0</v>
      </c>
      <c r="BA189" s="52">
        <f t="shared" si="175"/>
        <v>1204.71</v>
      </c>
      <c r="BB189" s="52">
        <f t="shared" si="175"/>
        <v>0</v>
      </c>
      <c r="BC189" s="52">
        <f t="shared" si="175"/>
        <v>0</v>
      </c>
      <c r="BD189" s="52">
        <f t="shared" si="175"/>
        <v>0</v>
      </c>
      <c r="BE189" s="52">
        <f t="shared" si="175"/>
        <v>1204.71</v>
      </c>
      <c r="BF189" s="52">
        <f t="shared" si="175"/>
        <v>224.05496000000002</v>
      </c>
      <c r="BG189" s="52">
        <f t="shared" si="175"/>
        <v>0</v>
      </c>
      <c r="BH189" s="52">
        <f t="shared" si="175"/>
        <v>0</v>
      </c>
      <c r="BI189" s="52">
        <f t="shared" si="175"/>
        <v>0</v>
      </c>
      <c r="BJ189" s="52">
        <f t="shared" si="175"/>
        <v>224.05496000000002</v>
      </c>
      <c r="BK189" s="52">
        <f t="shared" si="175"/>
        <v>235.70581792000002</v>
      </c>
      <c r="BL189" s="52">
        <f t="shared" si="175"/>
        <v>0</v>
      </c>
      <c r="BM189" s="52">
        <f t="shared" si="175"/>
        <v>0</v>
      </c>
      <c r="BN189" s="52">
        <f t="shared" si="175"/>
        <v>0</v>
      </c>
      <c r="BO189" s="52">
        <f t="shared" si="175"/>
        <v>235.70581792000002</v>
      </c>
      <c r="BP189" s="20"/>
      <c r="BQ189" s="18"/>
    </row>
    <row r="190" spans="1:69" s="19" customFormat="1" ht="15">
      <c r="A190" s="53">
        <v>1</v>
      </c>
      <c r="B190" s="54" t="s">
        <v>217</v>
      </c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15">
        <f t="shared" si="143"/>
        <v>0</v>
      </c>
      <c r="W190" s="52"/>
      <c r="X190" s="52"/>
      <c r="Y190" s="52"/>
      <c r="Z190" s="52"/>
      <c r="AA190" s="52"/>
      <c r="AB190" s="52"/>
      <c r="AC190" s="52"/>
      <c r="AD190" s="52"/>
      <c r="AE190" s="52"/>
      <c r="AF190" s="15">
        <f t="shared" si="145"/>
        <v>0</v>
      </c>
      <c r="AG190" s="52"/>
      <c r="AH190" s="52"/>
      <c r="AI190" s="52"/>
      <c r="AJ190" s="52"/>
      <c r="AK190" s="15">
        <f t="shared" si="137"/>
        <v>0</v>
      </c>
      <c r="AL190" s="55"/>
      <c r="AM190" s="52"/>
      <c r="AN190" s="52"/>
      <c r="AO190" s="52"/>
      <c r="AP190" s="15">
        <f t="shared" si="138"/>
        <v>0</v>
      </c>
      <c r="AQ190" s="52">
        <f>AL190*BP190</f>
        <v>0</v>
      </c>
      <c r="AR190" s="52"/>
      <c r="AS190" s="52"/>
      <c r="AT190" s="52"/>
      <c r="AU190" s="15">
        <f t="shared" si="139"/>
        <v>0</v>
      </c>
      <c r="AV190" s="52">
        <f>AQ190*BP190</f>
        <v>0</v>
      </c>
      <c r="AW190" s="52"/>
      <c r="AX190" s="52"/>
      <c r="AY190" s="52"/>
      <c r="AZ190" s="15">
        <f aca="true" t="shared" si="176" ref="AZ190:AZ195">SUM(AV190:AX190)</f>
        <v>0</v>
      </c>
      <c r="BA190" s="52">
        <v>164.47</v>
      </c>
      <c r="BB190" s="52"/>
      <c r="BC190" s="52"/>
      <c r="BD190" s="52"/>
      <c r="BE190" s="15">
        <f t="shared" si="140"/>
        <v>164.47</v>
      </c>
      <c r="BF190" s="52">
        <f>BA190*BP190</f>
        <v>173.02244000000002</v>
      </c>
      <c r="BG190" s="52"/>
      <c r="BH190" s="52"/>
      <c r="BI190" s="52"/>
      <c r="BJ190" s="15">
        <f t="shared" si="141"/>
        <v>173.02244000000002</v>
      </c>
      <c r="BK190" s="52">
        <f>BF190*BP190</f>
        <v>182.01960688000003</v>
      </c>
      <c r="BL190" s="52"/>
      <c r="BM190" s="52"/>
      <c r="BN190" s="52"/>
      <c r="BO190" s="15">
        <f t="shared" si="142"/>
        <v>182.01960688000003</v>
      </c>
      <c r="BP190" s="20">
        <v>1.052</v>
      </c>
      <c r="BQ190" s="18"/>
    </row>
    <row r="191" spans="1:69" s="19" customFormat="1" ht="30">
      <c r="A191" s="53">
        <v>2</v>
      </c>
      <c r="B191" s="54" t="s">
        <v>218</v>
      </c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15">
        <f t="shared" si="143"/>
        <v>0</v>
      </c>
      <c r="W191" s="52"/>
      <c r="X191" s="52"/>
      <c r="Y191" s="52"/>
      <c r="Z191" s="52"/>
      <c r="AA191" s="52"/>
      <c r="AB191" s="52"/>
      <c r="AC191" s="52"/>
      <c r="AD191" s="52"/>
      <c r="AE191" s="52"/>
      <c r="AF191" s="15">
        <f t="shared" si="145"/>
        <v>0</v>
      </c>
      <c r="AG191" s="52"/>
      <c r="AH191" s="52"/>
      <c r="AI191" s="52"/>
      <c r="AJ191" s="52"/>
      <c r="AK191" s="15">
        <f t="shared" si="137"/>
        <v>0</v>
      </c>
      <c r="AL191" s="55"/>
      <c r="AM191" s="52"/>
      <c r="AN191" s="52"/>
      <c r="AO191" s="52"/>
      <c r="AP191" s="15">
        <f t="shared" si="138"/>
        <v>0</v>
      </c>
      <c r="AQ191" s="52"/>
      <c r="AR191" s="52"/>
      <c r="AS191" s="52"/>
      <c r="AT191" s="52"/>
      <c r="AU191" s="15">
        <f t="shared" si="139"/>
        <v>0</v>
      </c>
      <c r="AV191" s="56"/>
      <c r="AW191" s="52"/>
      <c r="AX191" s="52"/>
      <c r="AY191" s="52"/>
      <c r="AZ191" s="15">
        <f t="shared" si="176"/>
        <v>0</v>
      </c>
      <c r="BA191" s="55">
        <v>991.73</v>
      </c>
      <c r="BB191" s="52"/>
      <c r="BC191" s="52"/>
      <c r="BD191" s="52"/>
      <c r="BE191" s="15">
        <f t="shared" si="140"/>
        <v>991.73</v>
      </c>
      <c r="BF191" s="52"/>
      <c r="BG191" s="52"/>
      <c r="BH191" s="52"/>
      <c r="BI191" s="52"/>
      <c r="BJ191" s="15">
        <f t="shared" si="141"/>
        <v>0</v>
      </c>
      <c r="BK191" s="52"/>
      <c r="BL191" s="52"/>
      <c r="BM191" s="52"/>
      <c r="BN191" s="52"/>
      <c r="BO191" s="15">
        <f t="shared" si="142"/>
        <v>0</v>
      </c>
      <c r="BP191" s="20"/>
      <c r="BQ191" s="18"/>
    </row>
    <row r="192" spans="1:69" s="19" customFormat="1" ht="15">
      <c r="A192" s="53">
        <v>3</v>
      </c>
      <c r="B192" s="54" t="s">
        <v>231</v>
      </c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15">
        <f t="shared" si="143"/>
        <v>0</v>
      </c>
      <c r="W192" s="52"/>
      <c r="X192" s="52"/>
      <c r="Y192" s="52"/>
      <c r="Z192" s="52"/>
      <c r="AA192" s="52"/>
      <c r="AB192" s="52"/>
      <c r="AC192" s="52"/>
      <c r="AD192" s="52"/>
      <c r="AE192" s="52"/>
      <c r="AF192" s="15">
        <f t="shared" si="145"/>
        <v>0</v>
      </c>
      <c r="AG192" s="52"/>
      <c r="AH192" s="52"/>
      <c r="AI192" s="52"/>
      <c r="AJ192" s="52"/>
      <c r="AK192" s="15">
        <f t="shared" si="137"/>
        <v>0</v>
      </c>
      <c r="AL192" s="55"/>
      <c r="AM192" s="52"/>
      <c r="AN192" s="52"/>
      <c r="AO192" s="52"/>
      <c r="AP192" s="15">
        <f t="shared" si="138"/>
        <v>0</v>
      </c>
      <c r="AQ192" s="52"/>
      <c r="AR192" s="52"/>
      <c r="AS192" s="52"/>
      <c r="AT192" s="52"/>
      <c r="AU192" s="15">
        <f t="shared" si="139"/>
        <v>0</v>
      </c>
      <c r="AV192" s="57"/>
      <c r="AW192" s="52"/>
      <c r="AX192" s="52"/>
      <c r="AY192" s="52"/>
      <c r="AZ192" s="15">
        <f t="shared" si="176"/>
        <v>0</v>
      </c>
      <c r="BA192" s="52">
        <v>48.51</v>
      </c>
      <c r="BB192" s="52"/>
      <c r="BC192" s="52"/>
      <c r="BD192" s="52"/>
      <c r="BE192" s="15">
        <f t="shared" si="140"/>
        <v>48.51</v>
      </c>
      <c r="BF192" s="52">
        <f>BA192*BP192</f>
        <v>51.03252</v>
      </c>
      <c r="BG192" s="52"/>
      <c r="BH192" s="52"/>
      <c r="BI192" s="52"/>
      <c r="BJ192" s="15">
        <f t="shared" si="141"/>
        <v>51.03252</v>
      </c>
      <c r="BK192" s="52">
        <f>BF192*BP192</f>
        <v>53.68621104</v>
      </c>
      <c r="BL192" s="52"/>
      <c r="BM192" s="52"/>
      <c r="BN192" s="52"/>
      <c r="BO192" s="15">
        <f t="shared" si="142"/>
        <v>53.68621104</v>
      </c>
      <c r="BP192" s="20">
        <v>1.052</v>
      </c>
      <c r="BQ192" s="18"/>
    </row>
    <row r="193" spans="1:69" s="19" customFormat="1" ht="15">
      <c r="A193" s="58" t="s">
        <v>215</v>
      </c>
      <c r="B193" s="59" t="s">
        <v>229</v>
      </c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15"/>
      <c r="W193" s="52"/>
      <c r="X193" s="52"/>
      <c r="Y193" s="52"/>
      <c r="Z193" s="52"/>
      <c r="AA193" s="52"/>
      <c r="AB193" s="52"/>
      <c r="AC193" s="52"/>
      <c r="AD193" s="52"/>
      <c r="AE193" s="52"/>
      <c r="AF193" s="15"/>
      <c r="AG193" s="52"/>
      <c r="AH193" s="52"/>
      <c r="AI193" s="52"/>
      <c r="AJ193" s="52"/>
      <c r="AK193" s="15"/>
      <c r="AL193" s="55">
        <v>172.8</v>
      </c>
      <c r="AM193" s="52"/>
      <c r="AN193" s="52"/>
      <c r="AO193" s="52"/>
      <c r="AP193" s="15">
        <f t="shared" si="138"/>
        <v>172.8</v>
      </c>
      <c r="AQ193" s="52">
        <v>221.55</v>
      </c>
      <c r="AR193" s="52"/>
      <c r="AS193" s="52"/>
      <c r="AT193" s="52"/>
      <c r="AU193" s="15">
        <f t="shared" si="139"/>
        <v>221.55</v>
      </c>
      <c r="AV193" s="52">
        <v>271.55</v>
      </c>
      <c r="AW193" s="52"/>
      <c r="AX193" s="52"/>
      <c r="AY193" s="52"/>
      <c r="AZ193" s="15">
        <f>SUM(AV193:AX193)</f>
        <v>271.55</v>
      </c>
      <c r="BA193" s="52">
        <v>321.55</v>
      </c>
      <c r="BB193" s="52"/>
      <c r="BC193" s="52"/>
      <c r="BD193" s="52"/>
      <c r="BE193" s="15">
        <f t="shared" si="140"/>
        <v>321.55</v>
      </c>
      <c r="BF193" s="52">
        <v>351.55</v>
      </c>
      <c r="BG193" s="52"/>
      <c r="BH193" s="52"/>
      <c r="BI193" s="52"/>
      <c r="BJ193" s="15">
        <f t="shared" si="141"/>
        <v>351.55</v>
      </c>
      <c r="BK193" s="52">
        <f>BF193*BP193</f>
        <v>369.8306</v>
      </c>
      <c r="BL193" s="52"/>
      <c r="BM193" s="52"/>
      <c r="BN193" s="52"/>
      <c r="BO193" s="15"/>
      <c r="BP193" s="20">
        <v>1.052</v>
      </c>
      <c r="BQ193" s="18"/>
    </row>
    <row r="194" spans="1:69" s="19" customFormat="1" ht="15">
      <c r="A194" s="58" t="s">
        <v>220</v>
      </c>
      <c r="B194" s="59" t="s">
        <v>230</v>
      </c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15">
        <f t="shared" si="143"/>
        <v>0</v>
      </c>
      <c r="W194" s="52"/>
      <c r="X194" s="52"/>
      <c r="Y194" s="52"/>
      <c r="Z194" s="52"/>
      <c r="AA194" s="52"/>
      <c r="AB194" s="52"/>
      <c r="AC194" s="52"/>
      <c r="AD194" s="52"/>
      <c r="AE194" s="52"/>
      <c r="AF194" s="15">
        <f t="shared" si="145"/>
        <v>0</v>
      </c>
      <c r="AG194" s="52"/>
      <c r="AH194" s="52"/>
      <c r="AI194" s="52"/>
      <c r="AJ194" s="52"/>
      <c r="AK194" s="15">
        <f t="shared" si="137"/>
        <v>0</v>
      </c>
      <c r="AL194" s="55">
        <v>66.92</v>
      </c>
      <c r="AM194" s="52"/>
      <c r="AN194" s="52"/>
      <c r="AO194" s="52"/>
      <c r="AP194" s="15">
        <f t="shared" si="138"/>
        <v>66.92</v>
      </c>
      <c r="AQ194" s="52">
        <v>135.17</v>
      </c>
      <c r="AR194" s="52"/>
      <c r="AS194" s="52"/>
      <c r="AT194" s="52"/>
      <c r="AU194" s="15">
        <f t="shared" si="139"/>
        <v>135.17</v>
      </c>
      <c r="AV194" s="52">
        <v>205.17</v>
      </c>
      <c r="AW194" s="52"/>
      <c r="AX194" s="52"/>
      <c r="AY194" s="52"/>
      <c r="AZ194" s="15">
        <f t="shared" si="176"/>
        <v>205.17</v>
      </c>
      <c r="BA194" s="52">
        <v>305.17</v>
      </c>
      <c r="BB194" s="52"/>
      <c r="BC194" s="52"/>
      <c r="BD194" s="52"/>
      <c r="BE194" s="15">
        <f t="shared" si="140"/>
        <v>305.17</v>
      </c>
      <c r="BF194" s="52">
        <f>BA194*BP194</f>
        <v>321.03884000000005</v>
      </c>
      <c r="BG194" s="52"/>
      <c r="BH194" s="52"/>
      <c r="BI194" s="52"/>
      <c r="BJ194" s="15">
        <f t="shared" si="141"/>
        <v>321.03884000000005</v>
      </c>
      <c r="BK194" s="52">
        <f>BF194*BP194</f>
        <v>337.73285968000005</v>
      </c>
      <c r="BL194" s="52"/>
      <c r="BM194" s="52"/>
      <c r="BN194" s="52"/>
      <c r="BO194" s="15">
        <f t="shared" si="142"/>
        <v>337.73285968000005</v>
      </c>
      <c r="BP194" s="20">
        <v>1.052</v>
      </c>
      <c r="BQ194" s="18"/>
    </row>
    <row r="195" spans="1:69" s="19" customFormat="1" ht="45">
      <c r="A195" s="13" t="s">
        <v>232</v>
      </c>
      <c r="B195" s="14" t="s">
        <v>219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15">
        <f t="shared" si="143"/>
        <v>0</v>
      </c>
      <c r="W195" s="29"/>
      <c r="X195" s="29"/>
      <c r="Y195" s="29"/>
      <c r="Z195" s="29"/>
      <c r="AA195" s="29"/>
      <c r="AB195" s="29"/>
      <c r="AC195" s="29"/>
      <c r="AD195" s="29"/>
      <c r="AE195" s="29"/>
      <c r="AF195" s="15">
        <f t="shared" si="145"/>
        <v>0</v>
      </c>
      <c r="AG195" s="29"/>
      <c r="AH195" s="29"/>
      <c r="AI195" s="29"/>
      <c r="AJ195" s="29"/>
      <c r="AK195" s="15">
        <f t="shared" si="137"/>
        <v>0</v>
      </c>
      <c r="AL195" s="29"/>
      <c r="AM195" s="29"/>
      <c r="AN195" s="29"/>
      <c r="AO195" s="29"/>
      <c r="AP195" s="15">
        <f t="shared" si="138"/>
        <v>0</v>
      </c>
      <c r="AQ195" s="29"/>
      <c r="AR195" s="29"/>
      <c r="AS195" s="29"/>
      <c r="AT195" s="29"/>
      <c r="AU195" s="15">
        <f t="shared" si="139"/>
        <v>0</v>
      </c>
      <c r="AV195" s="52">
        <f>AQ195*BP195</f>
        <v>0</v>
      </c>
      <c r="AW195" s="29"/>
      <c r="AX195" s="29"/>
      <c r="AY195" s="29"/>
      <c r="AZ195" s="15">
        <f t="shared" si="176"/>
        <v>0</v>
      </c>
      <c r="BA195" s="52">
        <v>368</v>
      </c>
      <c r="BB195" s="29"/>
      <c r="BC195" s="29"/>
      <c r="BD195" s="29"/>
      <c r="BE195" s="15">
        <f t="shared" si="140"/>
        <v>368</v>
      </c>
      <c r="BF195" s="52">
        <v>401.12</v>
      </c>
      <c r="BG195" s="29"/>
      <c r="BH195" s="29"/>
      <c r="BI195" s="29"/>
      <c r="BJ195" s="15">
        <f t="shared" si="141"/>
        <v>401.12</v>
      </c>
      <c r="BK195" s="52">
        <v>437.22</v>
      </c>
      <c r="BL195" s="29"/>
      <c r="BM195" s="29"/>
      <c r="BN195" s="29"/>
      <c r="BO195" s="15">
        <f t="shared" si="142"/>
        <v>437.22</v>
      </c>
      <c r="BP195" s="20">
        <v>1.02</v>
      </c>
      <c r="BQ195" s="18"/>
    </row>
    <row r="196" spans="1:69" s="19" customFormat="1" ht="30">
      <c r="A196" s="13"/>
      <c r="B196" s="14" t="s">
        <v>233</v>
      </c>
      <c r="C196" s="29">
        <f>C187+C189+C195</f>
        <v>1928.8</v>
      </c>
      <c r="D196" s="29">
        <f aca="true" t="shared" si="177" ref="D196:AF196">D187+D189+D195</f>
        <v>419.77</v>
      </c>
      <c r="E196" s="29">
        <f t="shared" si="177"/>
        <v>65.13</v>
      </c>
      <c r="F196" s="29">
        <f t="shared" si="177"/>
        <v>0.66</v>
      </c>
      <c r="G196" s="29">
        <f t="shared" si="177"/>
        <v>2348.57</v>
      </c>
      <c r="H196" s="29">
        <f t="shared" si="177"/>
        <v>1775.8699999999997</v>
      </c>
      <c r="I196" s="29">
        <f t="shared" si="177"/>
        <v>517.73</v>
      </c>
      <c r="J196" s="29">
        <f t="shared" si="177"/>
        <v>74.82</v>
      </c>
      <c r="K196" s="29">
        <f t="shared" si="177"/>
        <v>1.9899999999999998</v>
      </c>
      <c r="L196" s="29">
        <f t="shared" si="177"/>
        <v>2293.6</v>
      </c>
      <c r="M196" s="29">
        <f t="shared" si="177"/>
        <v>2165.34</v>
      </c>
      <c r="N196" s="29">
        <f t="shared" si="177"/>
        <v>572.7</v>
      </c>
      <c r="O196" s="29">
        <f t="shared" si="177"/>
        <v>64.61</v>
      </c>
      <c r="P196" s="29">
        <f t="shared" si="177"/>
        <v>0.66</v>
      </c>
      <c r="Q196" s="29">
        <f t="shared" si="177"/>
        <v>2738.04</v>
      </c>
      <c r="R196" s="29">
        <f t="shared" si="177"/>
        <v>2232.26</v>
      </c>
      <c r="S196" s="29">
        <f t="shared" si="177"/>
        <v>675.27</v>
      </c>
      <c r="T196" s="29">
        <f t="shared" si="177"/>
        <v>87.31</v>
      </c>
      <c r="U196" s="29">
        <f t="shared" si="177"/>
        <v>3.17</v>
      </c>
      <c r="V196" s="29">
        <f t="shared" si="177"/>
        <v>2907.53</v>
      </c>
      <c r="W196" s="29">
        <f t="shared" si="177"/>
        <v>2481.76</v>
      </c>
      <c r="X196" s="29">
        <f t="shared" si="177"/>
        <v>748.3799999999999</v>
      </c>
      <c r="Y196" s="29">
        <f t="shared" si="177"/>
        <v>95.29</v>
      </c>
      <c r="Z196" s="29">
        <f t="shared" si="177"/>
        <v>5.32</v>
      </c>
      <c r="AA196" s="29">
        <f t="shared" si="177"/>
        <v>3230.1400000000003</v>
      </c>
      <c r="AB196" s="29">
        <f t="shared" si="177"/>
        <v>2528.11</v>
      </c>
      <c r="AC196" s="29">
        <f t="shared" si="177"/>
        <v>1066.26</v>
      </c>
      <c r="AD196" s="29">
        <f t="shared" si="177"/>
        <v>44.475</v>
      </c>
      <c r="AE196" s="29">
        <f t="shared" si="177"/>
        <v>6.41</v>
      </c>
      <c r="AF196" s="29">
        <f t="shared" si="177"/>
        <v>3594.37</v>
      </c>
      <c r="AG196" s="29">
        <f>AG195+AG194+AG193+AG189+AG187</f>
        <v>2758.22</v>
      </c>
      <c r="AH196" s="29">
        <f aca="true" t="shared" si="178" ref="AH196:BO196">AH195+AH194+AH193+AH189+AH187</f>
        <v>1225.09</v>
      </c>
      <c r="AI196" s="29">
        <f t="shared" si="178"/>
        <v>138.01000000000002</v>
      </c>
      <c r="AJ196" s="29">
        <f t="shared" si="178"/>
        <v>10.27</v>
      </c>
      <c r="AK196" s="29">
        <f t="shared" si="178"/>
        <v>3983.3099999999995</v>
      </c>
      <c r="AL196" s="29">
        <f t="shared" si="178"/>
        <v>3349.4865525177674</v>
      </c>
      <c r="AM196" s="29">
        <f t="shared" si="178"/>
        <v>1354.1751989944373</v>
      </c>
      <c r="AN196" s="29">
        <f t="shared" si="178"/>
        <v>151.36825</v>
      </c>
      <c r="AO196" s="29">
        <f t="shared" si="178"/>
        <v>0</v>
      </c>
      <c r="AP196" s="29">
        <f t="shared" si="178"/>
        <v>4703.661751512205</v>
      </c>
      <c r="AQ196" s="29">
        <f t="shared" si="178"/>
        <v>3871.839718078166</v>
      </c>
      <c r="AR196" s="29">
        <f t="shared" si="178"/>
        <v>1497.7802768533554</v>
      </c>
      <c r="AS196" s="29">
        <f t="shared" si="178"/>
        <v>166.229303125</v>
      </c>
      <c r="AT196" s="29">
        <f t="shared" si="178"/>
        <v>0</v>
      </c>
      <c r="AU196" s="29">
        <f>AU195+AU194+AU193+AU189+AU187</f>
        <v>5369.619994931521</v>
      </c>
      <c r="AV196" s="29">
        <f t="shared" si="178"/>
        <v>4283.9812474466735</v>
      </c>
      <c r="AW196" s="29">
        <f t="shared" si="178"/>
        <v>1657.5384992545473</v>
      </c>
      <c r="AX196" s="29">
        <f t="shared" si="178"/>
        <v>182.7622247265625</v>
      </c>
      <c r="AY196" s="29">
        <f t="shared" si="178"/>
        <v>0</v>
      </c>
      <c r="AZ196" s="29">
        <f t="shared" si="178"/>
        <v>5941.51974670122</v>
      </c>
      <c r="BA196" s="29">
        <f t="shared" si="178"/>
        <v>6432.515825004463</v>
      </c>
      <c r="BB196" s="29">
        <f t="shared" si="178"/>
        <v>1835.2668521858836</v>
      </c>
      <c r="BC196" s="29">
        <f t="shared" si="178"/>
        <v>201.1551000083008</v>
      </c>
      <c r="BD196" s="29">
        <f t="shared" si="178"/>
        <v>0</v>
      </c>
      <c r="BE196" s="29">
        <f t="shared" si="178"/>
        <v>8267.782677190346</v>
      </c>
      <c r="BF196" s="29">
        <f t="shared" si="178"/>
        <v>5847.600297330731</v>
      </c>
      <c r="BG196" s="29">
        <f t="shared" si="178"/>
        <v>2032.9867082714102</v>
      </c>
      <c r="BH196" s="29">
        <f t="shared" si="178"/>
        <v>221.61717375923462</v>
      </c>
      <c r="BI196" s="29">
        <f t="shared" si="178"/>
        <v>0</v>
      </c>
      <c r="BJ196" s="29">
        <f t="shared" si="178"/>
        <v>7880.587005602142</v>
      </c>
      <c r="BK196" s="29">
        <f t="shared" si="178"/>
        <v>6589.652738449211</v>
      </c>
      <c r="BL196" s="29">
        <f t="shared" si="178"/>
        <v>2252.9468178381535</v>
      </c>
      <c r="BM196" s="29">
        <f t="shared" si="178"/>
        <v>244.3812308071485</v>
      </c>
      <c r="BN196" s="29">
        <f t="shared" si="178"/>
        <v>0</v>
      </c>
      <c r="BO196" s="29">
        <f t="shared" si="178"/>
        <v>8472.768956287362</v>
      </c>
      <c r="BP196" s="20"/>
      <c r="BQ196" s="18"/>
    </row>
    <row r="197" spans="3:77" s="19" customFormat="1" ht="32.25" customHeight="1">
      <c r="C197" s="77" t="s">
        <v>135</v>
      </c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7" t="s">
        <v>135</v>
      </c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7" t="s">
        <v>135</v>
      </c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  <c r="AR197" s="78"/>
      <c r="AS197" s="78"/>
      <c r="AT197" s="78"/>
      <c r="AU197" s="78"/>
      <c r="AV197" s="77" t="s">
        <v>135</v>
      </c>
      <c r="AW197" s="78"/>
      <c r="AX197" s="78"/>
      <c r="AY197" s="78"/>
      <c r="AZ197" s="78"/>
      <c r="BA197" s="78"/>
      <c r="BB197" s="78"/>
      <c r="BC197" s="78"/>
      <c r="BD197" s="78"/>
      <c r="BE197" s="78"/>
      <c r="BF197" s="77" t="s">
        <v>135</v>
      </c>
      <c r="BG197" s="78"/>
      <c r="BH197" s="78"/>
      <c r="BI197" s="78"/>
      <c r="BJ197" s="78"/>
      <c r="BK197" s="78"/>
      <c r="BL197" s="78"/>
      <c r="BM197" s="78"/>
      <c r="BN197" s="78"/>
      <c r="BO197" s="78"/>
      <c r="BP197" s="63"/>
      <c r="BQ197" s="63"/>
      <c r="BR197" s="63"/>
      <c r="BS197" s="63"/>
      <c r="BT197" s="63"/>
      <c r="BU197" s="63"/>
      <c r="BV197" s="63"/>
      <c r="BW197" s="63"/>
      <c r="BX197" s="63"/>
      <c r="BY197" s="64"/>
    </row>
    <row r="198" spans="3:77" s="19" customFormat="1" ht="32.25" customHeight="1">
      <c r="C198" s="77" t="s">
        <v>225</v>
      </c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7" t="s">
        <v>225</v>
      </c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7" t="s">
        <v>225</v>
      </c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7" t="s">
        <v>225</v>
      </c>
      <c r="AW198" s="78"/>
      <c r="AX198" s="78"/>
      <c r="AY198" s="78"/>
      <c r="AZ198" s="78"/>
      <c r="BA198" s="78"/>
      <c r="BB198" s="78"/>
      <c r="BC198" s="78"/>
      <c r="BD198" s="78"/>
      <c r="BE198" s="78"/>
      <c r="BF198" s="77" t="s">
        <v>225</v>
      </c>
      <c r="BG198" s="78"/>
      <c r="BH198" s="78"/>
      <c r="BI198" s="78"/>
      <c r="BJ198" s="78"/>
      <c r="BK198" s="78"/>
      <c r="BL198" s="78"/>
      <c r="BM198" s="78"/>
      <c r="BN198" s="78"/>
      <c r="BO198" s="78"/>
      <c r="BP198" s="60"/>
      <c r="BQ198" s="60"/>
      <c r="BR198" s="60"/>
      <c r="BS198" s="60"/>
      <c r="BT198" s="60"/>
      <c r="BU198" s="60"/>
      <c r="BV198" s="60"/>
      <c r="BW198" s="60"/>
      <c r="BX198" s="60"/>
      <c r="BY198" s="62"/>
    </row>
    <row r="199" spans="3:77" s="19" customFormat="1" ht="15" customHeight="1">
      <c r="C199" s="79" t="s">
        <v>234</v>
      </c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1"/>
      <c r="R199" s="79" t="s">
        <v>234</v>
      </c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1"/>
      <c r="AG199" s="79" t="s">
        <v>234</v>
      </c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1"/>
      <c r="AV199" s="79" t="s">
        <v>234</v>
      </c>
      <c r="AW199" s="80"/>
      <c r="AX199" s="80"/>
      <c r="AY199" s="80"/>
      <c r="AZ199" s="80"/>
      <c r="BA199" s="80"/>
      <c r="BB199" s="80"/>
      <c r="BC199" s="80"/>
      <c r="BD199" s="80"/>
      <c r="BE199" s="80"/>
      <c r="BF199" s="79" t="s">
        <v>234</v>
      </c>
      <c r="BG199" s="80"/>
      <c r="BH199" s="80"/>
      <c r="BI199" s="80"/>
      <c r="BJ199" s="80"/>
      <c r="BK199" s="80"/>
      <c r="BL199" s="80"/>
      <c r="BM199" s="80"/>
      <c r="BN199" s="80"/>
      <c r="BO199" s="80"/>
      <c r="BP199" s="51"/>
      <c r="BQ199" s="51"/>
      <c r="BR199" s="51"/>
      <c r="BS199" s="51"/>
      <c r="BT199" s="51"/>
      <c r="BU199" s="51"/>
      <c r="BV199" s="51"/>
      <c r="BW199" s="51"/>
      <c r="BX199" s="51"/>
      <c r="BY199" s="61"/>
    </row>
    <row r="200" spans="3:77" s="19" customFormat="1" ht="15" customHeight="1">
      <c r="C200" s="79" t="s">
        <v>224</v>
      </c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1"/>
      <c r="R200" s="79" t="s">
        <v>224</v>
      </c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1"/>
      <c r="AG200" s="79" t="s">
        <v>224</v>
      </c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1"/>
      <c r="AV200" s="79" t="s">
        <v>224</v>
      </c>
      <c r="AW200" s="80"/>
      <c r="AX200" s="80"/>
      <c r="AY200" s="80"/>
      <c r="AZ200" s="80"/>
      <c r="BA200" s="80"/>
      <c r="BB200" s="80"/>
      <c r="BC200" s="80"/>
      <c r="BD200" s="80"/>
      <c r="BE200" s="80"/>
      <c r="BF200" s="79" t="s">
        <v>224</v>
      </c>
      <c r="BG200" s="80"/>
      <c r="BH200" s="80"/>
      <c r="BI200" s="80"/>
      <c r="BJ200" s="80"/>
      <c r="BK200" s="80"/>
      <c r="BL200" s="80"/>
      <c r="BM200" s="80"/>
      <c r="BN200" s="80"/>
      <c r="BO200" s="80"/>
      <c r="BP200" s="51"/>
      <c r="BQ200" s="51"/>
      <c r="BR200" s="51"/>
      <c r="BS200" s="51"/>
      <c r="BT200" s="51"/>
      <c r="BU200" s="51"/>
      <c r="BV200" s="51"/>
      <c r="BW200" s="51"/>
      <c r="BX200" s="51"/>
      <c r="BY200" s="61"/>
    </row>
    <row r="201" spans="3:77" ht="28.5" customHeight="1">
      <c r="C201" s="82" t="s">
        <v>228</v>
      </c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4"/>
      <c r="R201" s="82" t="s">
        <v>228</v>
      </c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4"/>
      <c r="AG201" s="82" t="s">
        <v>228</v>
      </c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4"/>
      <c r="AV201" s="82" t="s">
        <v>228</v>
      </c>
      <c r="AW201" s="83"/>
      <c r="AX201" s="83"/>
      <c r="AY201" s="83"/>
      <c r="AZ201" s="83"/>
      <c r="BA201" s="83"/>
      <c r="BB201" s="83"/>
      <c r="BC201" s="83"/>
      <c r="BD201" s="83"/>
      <c r="BE201" s="83"/>
      <c r="BF201" s="82" t="s">
        <v>228</v>
      </c>
      <c r="BG201" s="83"/>
      <c r="BH201" s="83"/>
      <c r="BI201" s="83"/>
      <c r="BJ201" s="83"/>
      <c r="BK201" s="83"/>
      <c r="BL201" s="83"/>
      <c r="BM201" s="83"/>
      <c r="BN201" s="83"/>
      <c r="BO201" s="83"/>
      <c r="BP201" s="65"/>
      <c r="BQ201" s="65"/>
      <c r="BR201" s="65"/>
      <c r="BS201" s="65"/>
      <c r="BT201" s="65"/>
      <c r="BU201" s="65"/>
      <c r="BV201" s="65"/>
      <c r="BW201" s="65"/>
      <c r="BX201" s="65"/>
      <c r="BY201" s="66"/>
    </row>
    <row r="202" ht="15">
      <c r="BQ202" s="18"/>
    </row>
    <row r="203" ht="15">
      <c r="BQ203" s="18"/>
    </row>
  </sheetData>
  <sheetProtection/>
  <mergeCells count="47">
    <mergeCell ref="BF199:BO199"/>
    <mergeCell ref="BF200:BO200"/>
    <mergeCell ref="BF201:BO201"/>
    <mergeCell ref="AV1:BE1"/>
    <mergeCell ref="BF1:BO1"/>
    <mergeCell ref="AV197:BE197"/>
    <mergeCell ref="AV198:BE198"/>
    <mergeCell ref="AV199:BE199"/>
    <mergeCell ref="AV200:BE200"/>
    <mergeCell ref="BF2:BJ2"/>
    <mergeCell ref="BK2:BO2"/>
    <mergeCell ref="BF197:BO197"/>
    <mergeCell ref="BF198:BO198"/>
    <mergeCell ref="C198:Q198"/>
    <mergeCell ref="C199:Q199"/>
    <mergeCell ref="C200:Q200"/>
    <mergeCell ref="C201:Q201"/>
    <mergeCell ref="AG197:AU197"/>
    <mergeCell ref="AG198:AU198"/>
    <mergeCell ref="AG199:AU199"/>
    <mergeCell ref="AG200:AU200"/>
    <mergeCell ref="AG201:AU201"/>
    <mergeCell ref="R198:AF198"/>
    <mergeCell ref="R199:AF199"/>
    <mergeCell ref="R200:AF200"/>
    <mergeCell ref="R201:AF201"/>
    <mergeCell ref="BA2:BE2"/>
    <mergeCell ref="AB2:AF2"/>
    <mergeCell ref="AG2:AK2"/>
    <mergeCell ref="AV201:BE201"/>
    <mergeCell ref="AQ1:AU1"/>
    <mergeCell ref="H2:L2"/>
    <mergeCell ref="M2:Q2"/>
    <mergeCell ref="R2:V2"/>
    <mergeCell ref="W2:AA2"/>
    <mergeCell ref="R197:AF197"/>
    <mergeCell ref="C197:Q197"/>
    <mergeCell ref="AG1:AK1"/>
    <mergeCell ref="C2:G2"/>
    <mergeCell ref="AL2:AP2"/>
    <mergeCell ref="AQ2:AU2"/>
    <mergeCell ref="AV2:AZ2"/>
    <mergeCell ref="A1:B3"/>
    <mergeCell ref="C1:V1"/>
    <mergeCell ref="W1:AA1"/>
    <mergeCell ref="AB1:AF1"/>
    <mergeCell ref="AL1:AP1"/>
  </mergeCells>
  <printOptions gridLines="1" horizontalCentered="1"/>
  <pageMargins left="0.39" right="0.35" top="0.45" bottom="1.34" header="0.46" footer="1.02"/>
  <pageSetup firstPageNumber="22" useFirstPageNumber="1" horizontalDpi="600" verticalDpi="600" orientation="landscape" paperSize="9" scale="94" r:id="rId1"/>
  <headerFooter alignWithMargins="0">
    <oddHeader>&amp;L&amp;"Arial,Bold"&amp;12Name of State : SIKKIM
&amp;C&amp;"Arial,Bold"&amp;12Revenue Expenditure&amp;R&amp;"Arial,Bold"&amp;12Statement - 3
Rs. in Crore</oddHeader>
    <oddFooter>&amp;C&amp;P</oddFooter>
  </headerFooter>
  <rowBreaks count="11" manualBreakCount="11">
    <brk id="25" max="66" man="1"/>
    <brk id="44" max="66" man="1"/>
    <brk id="61" max="66" man="1"/>
    <brk id="83" max="66" man="1"/>
    <brk id="105" max="66" man="1"/>
    <brk id="123" max="66" man="1"/>
    <brk id="144" max="66" man="1"/>
    <brk id="163" max="66" man="1"/>
    <brk id="180" max="66" man="1"/>
    <brk id="193" max="66" man="1"/>
    <brk id="201" max="53" man="1"/>
  </rowBreaks>
  <colBreaks count="4" manualBreakCount="4">
    <brk id="17" max="200" man="1"/>
    <brk id="32" max="200" man="1"/>
    <brk id="47" max="200" man="1"/>
    <brk id="57" max="20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2013-12-04T09:54:38Z</cp:lastPrinted>
  <dcterms:created xsi:type="dcterms:W3CDTF">2008-02-29T08:55:45Z</dcterms:created>
  <dcterms:modified xsi:type="dcterms:W3CDTF">2013-12-04T09:59:43Z</dcterms:modified>
  <cp:category/>
  <cp:version/>
  <cp:contentType/>
  <cp:contentStatus/>
</cp:coreProperties>
</file>